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9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15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drawings/drawing22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 activeTab="4"/>
  </bookViews>
  <sheets>
    <sheet name="Perm_const" sheetId="20" r:id="rId1"/>
    <sheet name="Perm_falling" sheetId="21" r:id="rId2"/>
    <sheet name="Consol" sheetId="22" r:id="rId3"/>
    <sheet name="DirShear" sheetId="23" r:id="rId4"/>
    <sheet name="CU-Triaxial" sheetId="24" r:id="rId5"/>
    <sheet name="UU-Triaxial" sheetId="25" r:id="rId6"/>
    <sheet name="Organic Content" sheetId="15" r:id="rId7"/>
    <sheet name="Water content" sheetId="6" r:id="rId8"/>
    <sheet name="Sp_gravity" sheetId="9" r:id="rId9"/>
    <sheet name="Sieve" sheetId="10" r:id="rId10"/>
    <sheet name="Hydrometer" sheetId="11" r:id="rId11"/>
    <sheet name="LL_Casagrande" sheetId="16" r:id="rId12"/>
    <sheet name="LL_cone" sheetId="17" r:id="rId13"/>
    <sheet name="Compaction" sheetId="18" r:id="rId14"/>
    <sheet name="Max_min_density" sheetId="19" r:id="rId15"/>
    <sheet name="pH" sheetId="14" r:id="rId16"/>
  </sheets>
  <calcPr calcId="125725"/>
</workbook>
</file>

<file path=xl/calcChain.xml><?xml version="1.0" encoding="utf-8"?>
<calcChain xmlns="http://schemas.openxmlformats.org/spreadsheetml/2006/main">
  <c r="C30" i="25"/>
  <c r="C29"/>
  <c r="C28"/>
  <c r="C27"/>
  <c r="C26"/>
  <c r="C25"/>
  <c r="C24"/>
  <c r="C23"/>
  <c r="C22"/>
  <c r="C21"/>
  <c r="C20"/>
  <c r="C19"/>
  <c r="C18"/>
  <c r="C17"/>
  <c r="C14"/>
  <c r="C15"/>
  <c r="C16"/>
  <c r="C11"/>
  <c r="C12"/>
  <c r="C13"/>
  <c r="C10"/>
  <c r="E5"/>
  <c r="E6" s="1"/>
  <c r="S5" i="24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"/>
  <c r="E38"/>
  <c r="E37"/>
  <c r="E29"/>
  <c r="E30" s="1"/>
  <c r="H11" i="23"/>
  <c r="I10"/>
  <c r="C10"/>
  <c r="E15" s="1"/>
  <c r="M6" i="22"/>
  <c r="M7"/>
  <c r="M8"/>
  <c r="M9"/>
  <c r="M10"/>
  <c r="M11"/>
  <c r="M12"/>
  <c r="M13"/>
  <c r="M14"/>
  <c r="M15"/>
  <c r="M16"/>
  <c r="M17"/>
  <c r="M18"/>
  <c r="M3"/>
  <c r="M4"/>
  <c r="M5"/>
  <c r="M2"/>
  <c r="I34"/>
  <c r="H34"/>
  <c r="G34"/>
  <c r="F34"/>
  <c r="E34"/>
  <c r="I33"/>
  <c r="H33"/>
  <c r="G33"/>
  <c r="F33"/>
  <c r="E33"/>
  <c r="I29"/>
  <c r="I30" s="1"/>
  <c r="H29"/>
  <c r="H30"/>
  <c r="G29"/>
  <c r="F29"/>
  <c r="F30"/>
  <c r="F31"/>
  <c r="F32"/>
  <c r="E29"/>
  <c r="E30"/>
  <c r="G30" s="1"/>
  <c r="E31" s="1"/>
  <c r="G31" s="1"/>
  <c r="E32" s="1"/>
  <c r="G32" s="1"/>
  <c r="I28"/>
  <c r="H28"/>
  <c r="G28"/>
  <c r="F28"/>
  <c r="E28"/>
  <c r="I27"/>
  <c r="H27"/>
  <c r="G27"/>
  <c r="F27"/>
  <c r="E27"/>
  <c r="I26"/>
  <c r="I22"/>
  <c r="D22"/>
  <c r="I21"/>
  <c r="D21"/>
  <c r="I20"/>
  <c r="D20"/>
  <c r="I15"/>
  <c r="I19"/>
  <c r="D19"/>
  <c r="F13"/>
  <c r="H15" i="21"/>
  <c r="H17" s="1"/>
  <c r="G15"/>
  <c r="F15"/>
  <c r="F17" s="1"/>
  <c r="E15"/>
  <c r="E17" s="1"/>
  <c r="D15"/>
  <c r="D17" s="1"/>
  <c r="E8"/>
  <c r="E8" i="20"/>
  <c r="D14" s="1"/>
  <c r="D16" s="1"/>
  <c r="G22" i="19"/>
  <c r="G24" s="1"/>
  <c r="F22"/>
  <c r="F24" s="1"/>
  <c r="F17"/>
  <c r="G17"/>
  <c r="E22"/>
  <c r="E17"/>
  <c r="G30"/>
  <c r="F30"/>
  <c r="E30"/>
  <c r="F22" i="18"/>
  <c r="F25" s="1"/>
  <c r="G22"/>
  <c r="G25" s="1"/>
  <c r="H22"/>
  <c r="H25" s="1"/>
  <c r="I22"/>
  <c r="I25" s="1"/>
  <c r="E22"/>
  <c r="E25" s="1"/>
  <c r="F16"/>
  <c r="G16"/>
  <c r="H16"/>
  <c r="I16"/>
  <c r="E16"/>
  <c r="H13" i="17"/>
  <c r="G13"/>
  <c r="F13"/>
  <c r="E13"/>
  <c r="H12"/>
  <c r="G12"/>
  <c r="G14" s="1"/>
  <c r="F12"/>
  <c r="F14" s="1"/>
  <c r="E12"/>
  <c r="F13" i="16"/>
  <c r="G13"/>
  <c r="H13"/>
  <c r="E13"/>
  <c r="F12"/>
  <c r="F14" s="1"/>
  <c r="G12"/>
  <c r="G14" s="1"/>
  <c r="H12"/>
  <c r="H14" s="1"/>
  <c r="E12"/>
  <c r="E29" i="25" l="1"/>
  <c r="F29" s="1"/>
  <c r="E27"/>
  <c r="F27" s="1"/>
  <c r="E25"/>
  <c r="F25" s="1"/>
  <c r="E23"/>
  <c r="F23" s="1"/>
  <c r="E21"/>
  <c r="F21" s="1"/>
  <c r="E19"/>
  <c r="F19" s="1"/>
  <c r="E17"/>
  <c r="F17" s="1"/>
  <c r="E15"/>
  <c r="F15" s="1"/>
  <c r="E13"/>
  <c r="F13" s="1"/>
  <c r="E11"/>
  <c r="F11" s="1"/>
  <c r="E10"/>
  <c r="F10" s="1"/>
  <c r="E28"/>
  <c r="F28" s="1"/>
  <c r="E26"/>
  <c r="F26" s="1"/>
  <c r="E24"/>
  <c r="F24" s="1"/>
  <c r="E22"/>
  <c r="F22" s="1"/>
  <c r="E20"/>
  <c r="F20" s="1"/>
  <c r="E18"/>
  <c r="F18" s="1"/>
  <c r="E16"/>
  <c r="F16" s="1"/>
  <c r="E14"/>
  <c r="F14" s="1"/>
  <c r="E12"/>
  <c r="F12" s="1"/>
  <c r="E30"/>
  <c r="F30" s="1"/>
  <c r="E13" i="23"/>
  <c r="E38"/>
  <c r="E36"/>
  <c r="E34"/>
  <c r="E32"/>
  <c r="E30"/>
  <c r="E28"/>
  <c r="E26"/>
  <c r="E24"/>
  <c r="E22"/>
  <c r="E20"/>
  <c r="E18"/>
  <c r="E16"/>
  <c r="E14"/>
  <c r="E39"/>
  <c r="E37"/>
  <c r="E35"/>
  <c r="E33"/>
  <c r="E31"/>
  <c r="E29"/>
  <c r="E27"/>
  <c r="E25"/>
  <c r="E23"/>
  <c r="E21"/>
  <c r="E19"/>
  <c r="E17"/>
  <c r="H31" i="22"/>
  <c r="I31" s="1"/>
  <c r="G17" i="21"/>
  <c r="F14" i="20"/>
  <c r="F16" s="1"/>
  <c r="H14"/>
  <c r="H16" s="1"/>
  <c r="G14"/>
  <c r="G16" s="1"/>
  <c r="I14"/>
  <c r="I16" s="1"/>
  <c r="E14"/>
  <c r="E16" s="1"/>
  <c r="E24" i="19"/>
  <c r="I24" i="18"/>
  <c r="G24"/>
  <c r="F24"/>
  <c r="E24"/>
  <c r="H24"/>
  <c r="H14" i="17"/>
  <c r="E14"/>
  <c r="E14" i="16"/>
  <c r="I11" i="15"/>
  <c r="H11"/>
  <c r="G11"/>
  <c r="G12" s="1"/>
  <c r="G13" s="1"/>
  <c r="F11"/>
  <c r="I10"/>
  <c r="H10"/>
  <c r="G10"/>
  <c r="F10"/>
  <c r="G9" i="14"/>
  <c r="G10"/>
  <c r="G11"/>
  <c r="G8"/>
  <c r="D6" i="11"/>
  <c r="E6"/>
  <c r="F13"/>
  <c r="G13"/>
  <c r="J13" s="1"/>
  <c r="K13" s="1"/>
  <c r="H13"/>
  <c r="I13" s="1"/>
  <c r="F14"/>
  <c r="G14" s="1"/>
  <c r="J14" s="1"/>
  <c r="K14" s="1"/>
  <c r="F15"/>
  <c r="G15" s="1"/>
  <c r="J15" s="1"/>
  <c r="K15" s="1"/>
  <c r="H15"/>
  <c r="I15" s="1"/>
  <c r="F16"/>
  <c r="G16" s="1"/>
  <c r="J16" s="1"/>
  <c r="K16" s="1"/>
  <c r="H16"/>
  <c r="I16" s="1"/>
  <c r="F17"/>
  <c r="G17"/>
  <c r="J17" s="1"/>
  <c r="K17" s="1"/>
  <c r="H17"/>
  <c r="I17" s="1"/>
  <c r="F18"/>
  <c r="G18" s="1"/>
  <c r="J18" s="1"/>
  <c r="K18" s="1"/>
  <c r="F19"/>
  <c r="G19" s="1"/>
  <c r="J19" s="1"/>
  <c r="K19" s="1"/>
  <c r="H19"/>
  <c r="I19" s="1"/>
  <c r="F20"/>
  <c r="G20" s="1"/>
  <c r="J20" s="1"/>
  <c r="K20" s="1"/>
  <c r="H20"/>
  <c r="I20" s="1"/>
  <c r="F21"/>
  <c r="G21"/>
  <c r="J21" s="1"/>
  <c r="K21" s="1"/>
  <c r="H21"/>
  <c r="I21" s="1"/>
  <c r="F22"/>
  <c r="G22" s="1"/>
  <c r="J22" s="1"/>
  <c r="K22" s="1"/>
  <c r="F23"/>
  <c r="G23" s="1"/>
  <c r="J23" s="1"/>
  <c r="K23" s="1"/>
  <c r="H23"/>
  <c r="I23" s="1"/>
  <c r="F24"/>
  <c r="G24" s="1"/>
  <c r="J24" s="1"/>
  <c r="K24" s="1"/>
  <c r="H24"/>
  <c r="I24" s="1"/>
  <c r="F25"/>
  <c r="G25"/>
  <c r="J25" s="1"/>
  <c r="K25" s="1"/>
  <c r="H25"/>
  <c r="I25" s="1"/>
  <c r="F26"/>
  <c r="G26" s="1"/>
  <c r="J26" s="1"/>
  <c r="K26" s="1"/>
  <c r="D15" i="10"/>
  <c r="D16"/>
  <c r="D17"/>
  <c r="D18"/>
  <c r="D19"/>
  <c r="D20"/>
  <c r="D21"/>
  <c r="D14"/>
  <c r="F23" i="9"/>
  <c r="F24" s="1"/>
  <c r="G16"/>
  <c r="G23" s="1"/>
  <c r="G24" s="1"/>
  <c r="H16"/>
  <c r="H23" s="1"/>
  <c r="H24" s="1"/>
  <c r="F16"/>
  <c r="F3" i="6"/>
  <c r="F5"/>
  <c r="F2"/>
  <c r="H32" i="22" l="1"/>
  <c r="I32" s="1"/>
  <c r="F12" i="15"/>
  <c r="F13" s="1"/>
  <c r="H12"/>
  <c r="H13" s="1"/>
  <c r="I12"/>
  <c r="I13" s="1"/>
  <c r="H26" i="11"/>
  <c r="I26" s="1"/>
  <c r="H22"/>
  <c r="I22" s="1"/>
  <c r="H18"/>
  <c r="I18" s="1"/>
  <c r="H14"/>
  <c r="I14" s="1"/>
  <c r="D22" i="10"/>
  <c r="E15" s="1"/>
  <c r="E19" l="1"/>
  <c r="E17"/>
  <c r="E18"/>
  <c r="E14"/>
  <c r="F14" s="1"/>
  <c r="G14" s="1"/>
  <c r="E21"/>
  <c r="E16"/>
  <c r="E20"/>
  <c r="E22"/>
  <c r="F15"/>
  <c r="G15" s="1"/>
  <c r="F16" l="1"/>
  <c r="G16" l="1"/>
  <c r="F17"/>
  <c r="F18" l="1"/>
  <c r="G17"/>
  <c r="F19" l="1"/>
  <c r="G18"/>
  <c r="F20" l="1"/>
  <c r="G19"/>
  <c r="F21" l="1"/>
  <c r="G20"/>
</calcChain>
</file>

<file path=xl/sharedStrings.xml><?xml version="1.0" encoding="utf-8"?>
<sst xmlns="http://schemas.openxmlformats.org/spreadsheetml/2006/main" count="493" uniqueCount="361">
  <si>
    <t>Sample No.</t>
  </si>
  <si>
    <t>(mm)</t>
  </si>
  <si>
    <t>(g)</t>
  </si>
  <si>
    <t>Comments</t>
  </si>
  <si>
    <t>24 hrs in oven</t>
  </si>
  <si>
    <t>JC001</t>
  </si>
  <si>
    <t>BP018</t>
  </si>
  <si>
    <t>JC002</t>
  </si>
  <si>
    <t>Clayey sand; 28 hours in oven</t>
  </si>
  <si>
    <t>Tin No.</t>
  </si>
  <si>
    <t>A3</t>
  </si>
  <si>
    <t>Date:</t>
  </si>
  <si>
    <t>Tested by:</t>
  </si>
  <si>
    <t>Sample location:</t>
  </si>
  <si>
    <t>Dark brown sandy clay with high plasticity (CH)</t>
  </si>
  <si>
    <t>Kirwan Hospital</t>
  </si>
  <si>
    <t>Warren O'Donnell</t>
  </si>
  <si>
    <t>Test No.</t>
  </si>
  <si>
    <t>Pycnometer No.</t>
  </si>
  <si>
    <t>Mass of evaporating dish (g)</t>
  </si>
  <si>
    <t>Mass of evaporating dish and dry soil (g)</t>
  </si>
  <si>
    <t>Evaporating dish number</t>
  </si>
  <si>
    <t>Test temperature (°C)</t>
  </si>
  <si>
    <r>
      <t>Density of water (g/cm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</si>
  <si>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A</t>
  </si>
  <si>
    <t>B</t>
  </si>
  <si>
    <t>C</t>
  </si>
  <si>
    <t>Specific gravity @ above temperature</t>
  </si>
  <si>
    <t xml:space="preserve">Notes: </t>
  </si>
  <si>
    <t>Specific gravity @ 20°C</t>
  </si>
  <si>
    <r>
      <t xml:space="preserve">Mass of bottle + water, </t>
    </r>
    <r>
      <rPr>
        <i/>
        <sz val="12"/>
        <color theme="1"/>
        <rFont val="Arial"/>
        <family val="2"/>
      </rPr>
      <t>m</t>
    </r>
    <r>
      <rPr>
        <i/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(g)</t>
    </r>
  </si>
  <si>
    <r>
      <t xml:space="preserve">Mass of bottle + soil + water, </t>
    </r>
    <r>
      <rPr>
        <i/>
        <sz val="12"/>
        <color theme="1"/>
        <rFont val="Arial"/>
        <family val="2"/>
      </rPr>
      <t>m</t>
    </r>
    <r>
      <rPr>
        <i/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(g)</t>
    </r>
  </si>
  <si>
    <r>
      <t xml:space="preserve">Mass of dry soil, </t>
    </r>
    <r>
      <rPr>
        <i/>
        <sz val="12"/>
        <color theme="1"/>
        <rFont val="Arial"/>
        <family val="2"/>
      </rPr>
      <t>m</t>
    </r>
    <r>
      <rPr>
        <i/>
        <vertAlign val="subscript"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 xml:space="preserve"> (g)</t>
    </r>
  </si>
  <si>
    <t>Sample description:</t>
  </si>
  <si>
    <t>Sample No.:</t>
  </si>
  <si>
    <t>TP9-3</t>
  </si>
  <si>
    <t>Soil description:</t>
  </si>
  <si>
    <t>B1</t>
  </si>
  <si>
    <t>Rudd Rankine</t>
  </si>
  <si>
    <t xml:space="preserve">Sieve </t>
  </si>
  <si>
    <t>only</t>
  </si>
  <si>
    <t>and soil</t>
  </si>
  <si>
    <t>Soil</t>
  </si>
  <si>
    <t>retained</t>
  </si>
  <si>
    <t>%</t>
  </si>
  <si>
    <t>Cumulative</t>
  </si>
  <si>
    <t>% retained</t>
  </si>
  <si>
    <t>% passing</t>
  </si>
  <si>
    <t>Pan</t>
  </si>
  <si>
    <t>Mass of air-dried sample (g):</t>
  </si>
  <si>
    <t>Hygroscopic water content (%):</t>
  </si>
  <si>
    <t>Total</t>
  </si>
  <si>
    <t>Sand with fines</t>
  </si>
  <si>
    <t xml:space="preserve"> NA</t>
  </si>
  <si>
    <t>opening</t>
  </si>
  <si>
    <t>By inspection - None</t>
  </si>
  <si>
    <t>Annandale Gardens</t>
  </si>
  <si>
    <t>Eqs.</t>
  </si>
  <si>
    <r>
      <t>R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'</t>
    </r>
  </si>
  <si>
    <t>(min)</t>
  </si>
  <si>
    <t>Reading</t>
  </si>
  <si>
    <t>% finer</t>
  </si>
  <si>
    <t xml:space="preserve">from </t>
  </si>
  <si>
    <t>reading</t>
  </si>
  <si>
    <t>time</t>
  </si>
  <si>
    <t xml:space="preserve">of </t>
  </si>
  <si>
    <t>Date</t>
  </si>
  <si>
    <t>D</t>
  </si>
  <si>
    <r>
      <t>H</t>
    </r>
    <r>
      <rPr>
        <vertAlign val="subscript"/>
        <sz val="11"/>
        <rFont val="Arial"/>
        <family val="2"/>
      </rPr>
      <t xml:space="preserve">R </t>
    </r>
    <r>
      <rPr>
        <sz val="11"/>
        <rFont val="Arial"/>
        <family val="2"/>
      </rPr>
      <t>(cm)</t>
    </r>
  </si>
  <si>
    <t>Hydrometer</t>
  </si>
  <si>
    <t xml:space="preserve">Elapsed </t>
  </si>
  <si>
    <t xml:space="preserve">Time </t>
  </si>
  <si>
    <r>
      <t>R</t>
    </r>
    <r>
      <rPr>
        <vertAlign val="subscript"/>
        <sz val="11"/>
        <rFont val="Arial"/>
        <family val="2"/>
      </rPr>
      <t>c</t>
    </r>
    <r>
      <rPr>
        <sz val="11"/>
        <rFont val="Arial"/>
        <family val="2"/>
      </rPr>
      <t xml:space="preserve"> = R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+C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-C</t>
    </r>
    <r>
      <rPr>
        <vertAlign val="subscript"/>
        <sz val="11"/>
        <rFont val="Arial"/>
        <family val="2"/>
      </rPr>
      <t>a</t>
    </r>
  </si>
  <si>
    <r>
      <t>R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= R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'+C</t>
    </r>
    <r>
      <rPr>
        <vertAlign val="subscript"/>
        <sz val="11"/>
        <rFont val="Arial"/>
        <family val="2"/>
      </rPr>
      <t>m</t>
    </r>
  </si>
  <si>
    <r>
      <t>Temp (</t>
    </r>
    <r>
      <rPr>
        <sz val="11"/>
        <rFont val="Symbol"/>
        <family val="1"/>
        <charset val="2"/>
      </rPr>
      <t>°</t>
    </r>
    <r>
      <rPr>
        <sz val="11"/>
        <rFont val="Arial"/>
        <family val="2"/>
      </rPr>
      <t>C)</t>
    </r>
  </si>
  <si>
    <r>
      <t>m</t>
    </r>
    <r>
      <rPr>
        <vertAlign val="subscript"/>
        <sz val="11"/>
        <rFont val="Arial"/>
        <family val="2"/>
      </rPr>
      <t>s</t>
    </r>
    <r>
      <rPr>
        <sz val="11"/>
        <rFont val="Arial"/>
        <family val="2"/>
      </rPr>
      <t xml:space="preserve"> (g)</t>
    </r>
  </si>
  <si>
    <r>
      <t>Sp. Gravity G</t>
    </r>
    <r>
      <rPr>
        <vertAlign val="subscript"/>
        <sz val="11"/>
        <rFont val="Arial"/>
        <family val="2"/>
      </rPr>
      <t>s</t>
    </r>
  </si>
  <si>
    <t>a</t>
  </si>
  <si>
    <r>
      <rPr>
        <u/>
        <sz val="11"/>
        <rFont val="Arial"/>
        <family val="2"/>
      </rPr>
      <t>Comments</t>
    </r>
    <r>
      <rPr>
        <sz val="11"/>
        <rFont val="Arial"/>
        <family val="2"/>
      </rPr>
      <t>:</t>
    </r>
  </si>
  <si>
    <t>K</t>
  </si>
  <si>
    <t>Hyd.</t>
  </si>
  <si>
    <t>sample</t>
  </si>
  <si>
    <t>Whole</t>
  </si>
  <si>
    <r>
      <t>m</t>
    </r>
    <r>
      <rPr>
        <vertAlign val="subscript"/>
        <sz val="11"/>
        <rFont val="Arial"/>
        <family val="2"/>
      </rPr>
      <t xml:space="preserve">fines </t>
    </r>
    <r>
      <rPr>
        <sz val="11"/>
        <rFont val="Arial"/>
        <family val="2"/>
      </rPr>
      <t>(g)</t>
    </r>
  </si>
  <si>
    <r>
      <t>m</t>
    </r>
    <r>
      <rPr>
        <vertAlign val="subscript"/>
        <sz val="11"/>
        <rFont val="Arial"/>
        <family val="2"/>
      </rPr>
      <t>whole</t>
    </r>
    <r>
      <rPr>
        <sz val="11"/>
        <rFont val="Arial"/>
        <family val="2"/>
      </rPr>
      <t>(g)</t>
    </r>
  </si>
  <si>
    <r>
      <t xml:space="preserve">Date: </t>
    </r>
    <r>
      <rPr>
        <sz val="11"/>
        <rFont val="Comic Sans MS"/>
        <family val="4"/>
      </rPr>
      <t>14th May 2010</t>
    </r>
  </si>
  <si>
    <r>
      <t xml:space="preserve">Soil description: </t>
    </r>
    <r>
      <rPr>
        <sz val="11"/>
        <rFont val="Comic Sans MS"/>
        <family val="4"/>
      </rPr>
      <t>Dredged mud</t>
    </r>
  </si>
  <si>
    <r>
      <t xml:space="preserve">Test procedure: </t>
    </r>
    <r>
      <rPr>
        <sz val="11"/>
        <rFont val="Comic Sans MS"/>
        <family val="4"/>
      </rPr>
      <t>ASTM D422</t>
    </r>
  </si>
  <si>
    <r>
      <t xml:space="preserve">Hydrometer No: </t>
    </r>
    <r>
      <rPr>
        <sz val="11"/>
        <rFont val="Comic Sans MS"/>
        <family val="4"/>
      </rPr>
      <t>152H - B4969</t>
    </r>
  </si>
  <si>
    <r>
      <t xml:space="preserve">Dispersing agent (amount and type): </t>
    </r>
    <r>
      <rPr>
        <sz val="11"/>
        <rFont val="Comic Sans MS"/>
        <family val="4"/>
      </rPr>
      <t>125 mL of sodium hexa-metaphosphate (40 g/1000 mL)</t>
    </r>
  </si>
  <si>
    <r>
      <t xml:space="preserve">Sample location: </t>
    </r>
    <r>
      <rPr>
        <sz val="11"/>
        <rFont val="Comic Sans MS"/>
        <family val="4"/>
      </rPr>
      <t>Port of Brisbane</t>
    </r>
  </si>
  <si>
    <r>
      <t xml:space="preserve">Soil description: </t>
    </r>
    <r>
      <rPr>
        <sz val="12"/>
        <rFont val="Comic Sans MS"/>
        <family val="4"/>
      </rPr>
      <t>Clayey sandy gravel</t>
    </r>
  </si>
  <si>
    <r>
      <t xml:space="preserve">Sample location: </t>
    </r>
    <r>
      <rPr>
        <sz val="12"/>
        <rFont val="Comic Sans MS"/>
        <family val="4"/>
      </rPr>
      <t>Clayton campus</t>
    </r>
  </si>
  <si>
    <r>
      <t xml:space="preserve">Date: </t>
    </r>
    <r>
      <rPr>
        <sz val="12"/>
        <rFont val="Comic Sans MS"/>
        <family val="4"/>
      </rPr>
      <t>21 May 2010</t>
    </r>
  </si>
  <si>
    <r>
      <t>Sample location:</t>
    </r>
    <r>
      <rPr>
        <sz val="12"/>
        <rFont val="Calibri"/>
        <family val="2"/>
        <scheme val="minor"/>
      </rPr>
      <t xml:space="preserve"> </t>
    </r>
    <r>
      <rPr>
        <sz val="12"/>
        <rFont val="Comic Sans MS"/>
        <family val="4"/>
      </rPr>
      <t>Clayton campus</t>
    </r>
  </si>
  <si>
    <t>Notes:</t>
  </si>
  <si>
    <r>
      <rPr>
        <i/>
        <sz val="12"/>
        <color theme="1"/>
        <rFont val="Arial"/>
        <family val="2"/>
      </rPr>
      <t>m</t>
    </r>
    <r>
      <rPr>
        <i/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(g)</t>
    </r>
  </si>
  <si>
    <r>
      <rPr>
        <i/>
        <sz val="12"/>
        <color theme="1"/>
        <rFont val="Arial"/>
        <family val="2"/>
      </rPr>
      <t>m</t>
    </r>
    <r>
      <rPr>
        <i/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(g)</t>
    </r>
  </si>
  <si>
    <r>
      <rPr>
        <i/>
        <sz val="12"/>
        <color theme="1"/>
        <rFont val="Arial"/>
        <family val="2"/>
      </rPr>
      <t>m</t>
    </r>
    <r>
      <rPr>
        <i/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(g)</t>
    </r>
  </si>
  <si>
    <r>
      <rPr>
        <i/>
        <sz val="12"/>
        <color theme="1"/>
        <rFont val="Arial"/>
        <family val="2"/>
      </rPr>
      <t>w</t>
    </r>
    <r>
      <rPr>
        <sz val="12"/>
        <color theme="1"/>
        <rFont val="Arial"/>
        <family val="2"/>
      </rPr>
      <t xml:space="preserve"> (%)</t>
    </r>
  </si>
  <si>
    <r>
      <t>Soil description:</t>
    </r>
    <r>
      <rPr>
        <sz val="12"/>
        <rFont val="Calibri"/>
        <family val="2"/>
        <scheme val="minor"/>
      </rPr>
      <t xml:space="preserve"> </t>
    </r>
    <r>
      <rPr>
        <sz val="12"/>
        <rFont val="Comic Sans MS"/>
        <family val="4"/>
      </rPr>
      <t>Low plastic silty clay</t>
    </r>
  </si>
  <si>
    <r>
      <t>Test procedure:</t>
    </r>
    <r>
      <rPr>
        <sz val="12"/>
        <rFont val="Comic Sans MS"/>
        <family val="4"/>
      </rPr>
      <t xml:space="preserve"> AS 1289.4.3.1</t>
    </r>
  </si>
  <si>
    <t>Sample</t>
  </si>
  <si>
    <t>No.</t>
  </si>
  <si>
    <t>Test 1</t>
  </si>
  <si>
    <t>Test 3</t>
  </si>
  <si>
    <t>Test 4</t>
  </si>
  <si>
    <t>Test 5</t>
  </si>
  <si>
    <t>Test 2</t>
  </si>
  <si>
    <t>Average</t>
  </si>
  <si>
    <t>pH</t>
  </si>
  <si>
    <t>BH7-1.5m</t>
  </si>
  <si>
    <t>BH2_2.2m</t>
  </si>
  <si>
    <t>Temp</t>
  </si>
  <si>
    <r>
      <rPr>
        <sz val="12"/>
        <color theme="1"/>
        <rFont val="Symbol"/>
        <family val="1"/>
        <charset val="2"/>
      </rPr>
      <t>°</t>
    </r>
    <r>
      <rPr>
        <sz val="12"/>
        <color theme="1"/>
        <rFont val="Arial"/>
        <family val="2"/>
      </rPr>
      <t>C</t>
    </r>
  </si>
  <si>
    <t>TP2_1.5m</t>
  </si>
  <si>
    <t>TP8_2.0m</t>
  </si>
  <si>
    <t>Mass of dish and oven-dried specimen (g)</t>
  </si>
  <si>
    <t>Dish number</t>
  </si>
  <si>
    <t>Mass of dish (g)</t>
  </si>
  <si>
    <t>Mass of dish and ash (g)</t>
  </si>
  <si>
    <r>
      <t xml:space="preserve">Mass of oven dried specimen, </t>
    </r>
    <r>
      <rPr>
        <i/>
        <sz val="12"/>
        <rFont val="Arial"/>
        <family val="2"/>
      </rPr>
      <t>m</t>
    </r>
    <r>
      <rPr>
        <i/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(g)</t>
    </r>
  </si>
  <si>
    <r>
      <t xml:space="preserve">Mass of ash, </t>
    </r>
    <r>
      <rPr>
        <i/>
        <sz val="12"/>
        <rFont val="Arial"/>
        <family val="2"/>
      </rPr>
      <t>m</t>
    </r>
    <r>
      <rPr>
        <i/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(g)</t>
    </r>
  </si>
  <si>
    <t>A1</t>
  </si>
  <si>
    <t>A2</t>
  </si>
  <si>
    <t>A4</t>
  </si>
  <si>
    <t>Ash Content (%)</t>
  </si>
  <si>
    <t>Organic content (%)</t>
  </si>
  <si>
    <r>
      <t xml:space="preserve">Notes: </t>
    </r>
    <r>
      <rPr>
        <sz val="12"/>
        <rFont val="Comic Sans MS"/>
        <family val="4"/>
      </rPr>
      <t>Four samples from bag A</t>
    </r>
  </si>
  <si>
    <r>
      <t xml:space="preserve">Test procedure: </t>
    </r>
    <r>
      <rPr>
        <sz val="12"/>
        <rFont val="Comic Sans MS"/>
        <family val="4"/>
      </rPr>
      <t>ASTM D 2974-07a</t>
    </r>
  </si>
  <si>
    <r>
      <rPr>
        <i/>
        <sz val="12"/>
        <color theme="1"/>
        <rFont val="Arial"/>
        <family val="2"/>
      </rPr>
      <t>m</t>
    </r>
    <r>
      <rPr>
        <i/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= Mass of container</t>
    </r>
  </si>
  <si>
    <r>
      <rPr>
        <i/>
        <sz val="12"/>
        <color theme="1"/>
        <rFont val="Arial"/>
        <family val="2"/>
      </rPr>
      <t>m</t>
    </r>
    <r>
      <rPr>
        <i/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= Mass of container + specimen</t>
    </r>
  </si>
  <si>
    <r>
      <rPr>
        <i/>
        <sz val="12"/>
        <color theme="1"/>
        <rFont val="Arial"/>
        <family val="2"/>
      </rPr>
      <t>m</t>
    </r>
    <r>
      <rPr>
        <i/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= Mass of container + dry specimen</t>
    </r>
  </si>
  <si>
    <t>Container No.</t>
  </si>
  <si>
    <t>Mass of container (g)</t>
  </si>
  <si>
    <t>Mass of cont. + moist soil (g)</t>
  </si>
  <si>
    <t>Mass of cont. + dry soil (g)</t>
  </si>
  <si>
    <t>Water content (%)</t>
  </si>
  <si>
    <t>Mass of water (g)</t>
  </si>
  <si>
    <t>Mass of dry soil (g)</t>
  </si>
  <si>
    <t xml:space="preserve">Test No. </t>
  </si>
  <si>
    <t>A23</t>
  </si>
  <si>
    <t>A41</t>
  </si>
  <si>
    <t>No. of blows</t>
  </si>
  <si>
    <r>
      <t xml:space="preserve">Sample description: </t>
    </r>
    <r>
      <rPr>
        <sz val="12"/>
        <color theme="1"/>
        <rFont val="Comic Sans MS"/>
        <family val="4"/>
      </rPr>
      <t>Dark brown sandy clay with high plasticity (CH)</t>
    </r>
  </si>
  <si>
    <t>Penetration (mm)</t>
  </si>
  <si>
    <t>D2</t>
  </si>
  <si>
    <t>D7</t>
  </si>
  <si>
    <t>D9</t>
  </si>
  <si>
    <t>D13</t>
  </si>
  <si>
    <t>Grid line data</t>
  </si>
  <si>
    <t>&lt; 4.75 mm fraction</t>
  </si>
  <si>
    <t>9.5-19.0 mm fraction</t>
  </si>
  <si>
    <t>4.75-9.5 mm fraction</t>
  </si>
  <si>
    <t>19.0-37.5 mm fraction</t>
  </si>
  <si>
    <t>&gt; 37.5 mm fraction</t>
  </si>
  <si>
    <r>
      <rPr>
        <u/>
        <sz val="12"/>
        <color theme="1"/>
        <rFont val="Arial"/>
        <family val="2"/>
      </rPr>
      <t>Grading</t>
    </r>
    <r>
      <rPr>
        <sz val="12"/>
        <color theme="1"/>
        <rFont val="Arial"/>
        <family val="2"/>
      </rPr>
      <t>:</t>
    </r>
  </si>
  <si>
    <t>Mold number</t>
  </si>
  <si>
    <r>
      <t>Mold volume (cm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</si>
  <si>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Mass of mold (g)</t>
  </si>
  <si>
    <t>Mass of mold + wet soil (g)</t>
  </si>
  <si>
    <t>Tin (or tray) number</t>
  </si>
  <si>
    <t>Mass of tin + wet soil (g)</t>
  </si>
  <si>
    <t>Mass of tin + dry soil (g)</t>
  </si>
  <si>
    <t>Mass of tin (g)</t>
  </si>
  <si>
    <t>Average specific gravity</t>
  </si>
  <si>
    <r>
      <t xml:space="preserve">Bulk density, </t>
    </r>
    <r>
      <rPr>
        <i/>
        <sz val="12"/>
        <color theme="1"/>
        <rFont val="Symbol"/>
        <family val="1"/>
        <charset val="2"/>
      </rPr>
      <t>r</t>
    </r>
    <r>
      <rPr>
        <i/>
        <vertAlign val="subscript"/>
        <sz val="12"/>
        <color theme="1"/>
        <rFont val="Arial"/>
        <family val="2"/>
      </rPr>
      <t>m</t>
    </r>
    <r>
      <rPr>
        <sz val="12"/>
        <color theme="1"/>
        <rFont val="Symbol"/>
        <family val="1"/>
        <charset val="2"/>
      </rPr>
      <t xml:space="preserve"> </t>
    </r>
    <r>
      <rPr>
        <sz val="12"/>
        <color theme="1"/>
        <rFont val="Arial"/>
        <family val="2"/>
      </rPr>
      <t>(Mg/m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</si>
  <si>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r>
      <t xml:space="preserve">Dry density, </t>
    </r>
    <r>
      <rPr>
        <i/>
        <sz val="12"/>
        <color theme="1"/>
        <rFont val="Symbol"/>
        <family val="1"/>
        <charset val="2"/>
      </rPr>
      <t>r</t>
    </r>
    <r>
      <rPr>
        <i/>
        <vertAlign val="subscript"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 (Mg/m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</si>
  <si>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r>
      <rPr>
        <i/>
        <sz val="12"/>
        <color theme="1"/>
        <rFont val="Symbol"/>
        <family val="1"/>
        <charset val="2"/>
      </rPr>
      <t>r</t>
    </r>
    <r>
      <rPr>
        <i/>
        <vertAlign val="subscript"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 (Mg/m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 for zero air void curve</t>
    </r>
  </si>
  <si>
    <t>Townsville port</t>
  </si>
  <si>
    <r>
      <t xml:space="preserve">Sample description: </t>
    </r>
    <r>
      <rPr>
        <sz val="12"/>
        <color theme="1"/>
        <rFont val="Comic Sans MS"/>
        <family val="4"/>
      </rPr>
      <t>Gravelly sandy clay of high plasticity</t>
    </r>
  </si>
  <si>
    <t>Comments:</t>
  </si>
  <si>
    <t>TPA-43</t>
  </si>
  <si>
    <t>12th June 2010</t>
  </si>
  <si>
    <r>
      <t xml:space="preserve">Tested by: </t>
    </r>
    <r>
      <rPr>
        <sz val="12"/>
        <color theme="1"/>
        <rFont val="Comic Sans MS"/>
        <family val="4"/>
      </rPr>
      <t>Warren O'Donnell</t>
    </r>
  </si>
  <si>
    <r>
      <t xml:space="preserve">Compactive effort: </t>
    </r>
    <r>
      <rPr>
        <sz val="12"/>
        <color theme="1"/>
        <rFont val="Comic Sans MS"/>
        <family val="4"/>
      </rPr>
      <t>Standard Proctor</t>
    </r>
  </si>
  <si>
    <r>
      <rPr>
        <u/>
        <sz val="12"/>
        <color theme="1"/>
        <rFont val="Arial"/>
        <family val="2"/>
      </rPr>
      <t xml:space="preserve">Water content </t>
    </r>
    <r>
      <rPr>
        <i/>
        <u/>
        <sz val="12"/>
        <color theme="1"/>
        <rFont val="Arial"/>
        <family val="2"/>
      </rPr>
      <t>w</t>
    </r>
    <r>
      <rPr>
        <sz val="12"/>
        <color theme="1"/>
        <rFont val="Arial"/>
        <family val="2"/>
      </rPr>
      <t>:</t>
    </r>
  </si>
  <si>
    <r>
      <rPr>
        <u/>
        <sz val="12"/>
        <color theme="1"/>
        <rFont val="Arial"/>
        <family val="2"/>
      </rPr>
      <t xml:space="preserve">Bulk density </t>
    </r>
    <r>
      <rPr>
        <i/>
        <u/>
        <sz val="12"/>
        <color theme="1"/>
        <rFont val="Symbol"/>
        <family val="1"/>
        <charset val="2"/>
      </rPr>
      <t>r</t>
    </r>
    <r>
      <rPr>
        <i/>
        <u/>
        <vertAlign val="subscript"/>
        <sz val="12"/>
        <color theme="1"/>
        <rFont val="Arial"/>
        <family val="2"/>
      </rPr>
      <t>m</t>
    </r>
    <r>
      <rPr>
        <sz val="12"/>
        <color theme="1"/>
        <rFont val="Arial"/>
        <family val="2"/>
      </rPr>
      <t>:</t>
    </r>
  </si>
  <si>
    <t>Soaking time</t>
  </si>
  <si>
    <t>Vibration time pre-surcharge</t>
  </si>
  <si>
    <t>Vibration time post-surcharge</t>
  </si>
  <si>
    <t>Mass of mold + wet specimen (g)</t>
  </si>
  <si>
    <r>
      <t>Volume of the mold (cm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</si>
  <si>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r>
      <t xml:space="preserve">Bulk density, </t>
    </r>
    <r>
      <rPr>
        <i/>
        <sz val="12"/>
        <color theme="1"/>
        <rFont val="Symbol"/>
        <family val="1"/>
        <charset val="2"/>
      </rPr>
      <t>r</t>
    </r>
    <r>
      <rPr>
        <i/>
        <vertAlign val="subscript"/>
        <sz val="12"/>
        <color theme="1"/>
        <rFont val="Arial"/>
        <family val="2"/>
      </rPr>
      <t>m</t>
    </r>
    <r>
      <rPr>
        <sz val="12"/>
        <color theme="1"/>
        <rFont val="Arial"/>
        <family val="2"/>
      </rPr>
      <t xml:space="preserve"> (Mg/m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</si>
  <si>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Mass of tray (g)</t>
  </si>
  <si>
    <t>Mass of tray + dry specimen (g)</t>
  </si>
  <si>
    <t>Mass of tray + wet specimen (g)</t>
  </si>
  <si>
    <t>Mass of mold + dry soil (g)</t>
  </si>
  <si>
    <r>
      <t xml:space="preserve">Maximum dry density, </t>
    </r>
    <r>
      <rPr>
        <i/>
        <sz val="12"/>
        <color theme="1"/>
        <rFont val="Symbol"/>
        <family val="1"/>
        <charset val="2"/>
      </rPr>
      <t>r</t>
    </r>
    <r>
      <rPr>
        <i/>
        <vertAlign val="subscript"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 (Mg/m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</si>
  <si>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r>
      <t xml:space="preserve">Minimum dry density, </t>
    </r>
    <r>
      <rPr>
        <i/>
        <sz val="12"/>
        <color theme="1"/>
        <rFont val="Symbol"/>
        <family val="1"/>
        <charset val="2"/>
      </rPr>
      <t>r</t>
    </r>
    <r>
      <rPr>
        <i/>
        <vertAlign val="subscript"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 (Mg/m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</si>
  <si>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Surcharge mass (kg)</t>
  </si>
  <si>
    <t>1 hr</t>
  </si>
  <si>
    <t xml:space="preserve"> 9 min</t>
  </si>
  <si>
    <t>10 min</t>
  </si>
  <si>
    <t>9 min</t>
  </si>
  <si>
    <t>Syntron Magnetic vibrator V-51-D1; 50 Hz</t>
  </si>
  <si>
    <r>
      <t xml:space="preserve">Sample description: </t>
    </r>
    <r>
      <rPr>
        <sz val="12"/>
        <color theme="1"/>
        <rFont val="Comic Sans MS"/>
        <family val="4"/>
      </rPr>
      <t>Well graded sand</t>
    </r>
  </si>
  <si>
    <t xml:space="preserve">Dairy Framers Stadium </t>
  </si>
  <si>
    <t>18th July 2004</t>
  </si>
  <si>
    <r>
      <t>Tested by:</t>
    </r>
    <r>
      <rPr>
        <sz val="12"/>
        <color theme="1"/>
        <rFont val="Comic Sans MS"/>
        <family val="4"/>
      </rPr>
      <t xml:space="preserve"> Rudd Rankine</t>
    </r>
  </si>
  <si>
    <r>
      <t xml:space="preserve">Comments: </t>
    </r>
    <r>
      <rPr>
        <sz val="12"/>
        <color theme="1"/>
        <rFont val="Comic Sans MS"/>
        <family val="4"/>
      </rPr>
      <t>As per AS 1289.5.5.1</t>
    </r>
  </si>
  <si>
    <t>Vibrating table details:</t>
  </si>
  <si>
    <t>Specific gravity (if known or estimated):</t>
  </si>
  <si>
    <r>
      <t xml:space="preserve">Sample Number: </t>
    </r>
    <r>
      <rPr>
        <sz val="12"/>
        <color theme="1"/>
        <rFont val="Comic Sans MS"/>
        <family val="4"/>
      </rPr>
      <t>TGH_TP12</t>
    </r>
  </si>
  <si>
    <r>
      <t xml:space="preserve">Tested by: </t>
    </r>
    <r>
      <rPr>
        <sz val="12"/>
        <color theme="1"/>
        <rFont val="Comic Sans MS"/>
        <family val="4"/>
      </rPr>
      <t>Kirralee Rankine</t>
    </r>
  </si>
  <si>
    <t>20th May 2004</t>
  </si>
  <si>
    <t xml:space="preserve">Date: </t>
  </si>
  <si>
    <r>
      <t xml:space="preserve">Water collected </t>
    </r>
    <r>
      <rPr>
        <i/>
        <sz val="12"/>
        <color theme="1"/>
        <rFont val="Arial"/>
        <family val="2"/>
      </rPr>
      <t>Q</t>
    </r>
    <r>
      <rPr>
        <sz val="12"/>
        <color theme="1"/>
        <rFont val="Arial"/>
        <family val="2"/>
      </rPr>
      <t xml:space="preserve"> (mL)</t>
    </r>
  </si>
  <si>
    <r>
      <t xml:space="preserve">Duration </t>
    </r>
    <r>
      <rPr>
        <i/>
        <sz val="12"/>
        <color theme="1"/>
        <rFont val="Arial"/>
        <family val="2"/>
      </rPr>
      <t>t</t>
    </r>
    <r>
      <rPr>
        <sz val="12"/>
        <color theme="1"/>
        <rFont val="Arial"/>
        <family val="2"/>
      </rPr>
      <t xml:space="preserve"> (s)</t>
    </r>
  </si>
  <si>
    <r>
      <t xml:space="preserve">Head </t>
    </r>
    <r>
      <rPr>
        <i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(cm)</t>
    </r>
  </si>
  <si>
    <r>
      <t xml:space="preserve">Cross sectional area </t>
    </r>
    <r>
      <rPr>
        <i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 (cm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</si>
  <si>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 xml:space="preserve">Specimen length </t>
    </r>
    <r>
      <rPr>
        <i/>
        <sz val="12"/>
        <color theme="1"/>
        <rFont val="Arial"/>
        <family val="2"/>
      </rPr>
      <t>L</t>
    </r>
    <r>
      <rPr>
        <sz val="12"/>
        <color theme="1"/>
        <rFont val="Arial"/>
        <family val="2"/>
      </rPr>
      <t xml:space="preserve"> (mm)</t>
    </r>
  </si>
  <si>
    <r>
      <t xml:space="preserve">Specimen diameter </t>
    </r>
    <r>
      <rPr>
        <i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 (mm)</t>
    </r>
  </si>
  <si>
    <r>
      <t xml:space="preserve">Temperature </t>
    </r>
    <r>
      <rPr>
        <i/>
        <sz val="12"/>
        <color theme="1"/>
        <rFont val="Arial"/>
        <family val="2"/>
      </rPr>
      <t>T</t>
    </r>
    <r>
      <rPr>
        <sz val="12"/>
        <color theme="1"/>
        <rFont val="Arial"/>
        <family val="2"/>
      </rPr>
      <t xml:space="preserve"> (</t>
    </r>
    <r>
      <rPr>
        <sz val="12"/>
        <color theme="1"/>
        <rFont val="Symbol"/>
        <family val="1"/>
        <charset val="2"/>
      </rPr>
      <t>°</t>
    </r>
    <r>
      <rPr>
        <sz val="12"/>
        <color theme="1"/>
        <rFont val="Arial"/>
        <family val="2"/>
      </rPr>
      <t>C)</t>
    </r>
  </si>
  <si>
    <r>
      <t>k</t>
    </r>
    <r>
      <rPr>
        <vertAlign val="subscript"/>
        <sz val="12"/>
        <color theme="1"/>
        <rFont val="Arial"/>
        <family val="2"/>
      </rPr>
      <t>T</t>
    </r>
    <r>
      <rPr>
        <sz val="12"/>
        <color theme="1"/>
        <rFont val="Arial"/>
        <family val="2"/>
      </rPr>
      <t xml:space="preserve"> (cm/s)</t>
    </r>
  </si>
  <si>
    <r>
      <t>Sample description:</t>
    </r>
    <r>
      <rPr>
        <sz val="12"/>
        <color theme="1"/>
        <rFont val="Comic Sans MS"/>
        <family val="4"/>
      </rPr>
      <t xml:space="preserve"> Fine silty sand with negligible gravels</t>
    </r>
  </si>
  <si>
    <r>
      <rPr>
        <i/>
        <sz val="12"/>
        <color theme="1"/>
        <rFont val="Symbol"/>
        <family val="1"/>
        <charset val="2"/>
      </rPr>
      <t>m</t>
    </r>
    <r>
      <rPr>
        <i/>
        <vertAlign val="subscript"/>
        <sz val="12"/>
        <color theme="1"/>
        <rFont val="Arial"/>
        <family val="2"/>
      </rPr>
      <t>T</t>
    </r>
    <r>
      <rPr>
        <sz val="12"/>
        <color theme="1"/>
        <rFont val="Arial"/>
        <family val="2"/>
      </rPr>
      <t>/</t>
    </r>
    <r>
      <rPr>
        <i/>
        <sz val="12"/>
        <color theme="1"/>
        <rFont val="Symbol"/>
        <family val="1"/>
        <charset val="2"/>
      </rPr>
      <t>m</t>
    </r>
    <r>
      <rPr>
        <i/>
        <vertAlign val="subscript"/>
        <sz val="12"/>
        <color theme="1"/>
        <rFont val="Arial"/>
        <family val="2"/>
      </rPr>
      <t>20</t>
    </r>
  </si>
  <si>
    <r>
      <t>k</t>
    </r>
    <r>
      <rPr>
        <vertAlign val="subscript"/>
        <sz val="12"/>
        <color theme="1"/>
        <rFont val="Arial"/>
        <family val="2"/>
      </rPr>
      <t xml:space="preserve">20 </t>
    </r>
    <r>
      <rPr>
        <sz val="12"/>
        <color theme="1"/>
        <rFont val="Arial"/>
        <family val="2"/>
      </rPr>
      <t>(cm/s)</t>
    </r>
  </si>
  <si>
    <r>
      <rPr>
        <u/>
        <sz val="12"/>
        <color theme="1"/>
        <rFont val="Arial"/>
        <family val="2"/>
      </rPr>
      <t>Notes</t>
    </r>
    <r>
      <rPr>
        <sz val="12"/>
        <color theme="1"/>
        <rFont val="Arial"/>
        <family val="2"/>
      </rPr>
      <t xml:space="preserve">: Flushed water for 15 minutes </t>
    </r>
  </si>
  <si>
    <t>to saturate the specimen.</t>
  </si>
  <si>
    <r>
      <t>Sample description:</t>
    </r>
    <r>
      <rPr>
        <sz val="12"/>
        <color theme="1"/>
        <rFont val="Comic Sans MS"/>
        <family val="4"/>
      </rPr>
      <t xml:space="preserve"> Remoulded and compacted sandy clay</t>
    </r>
  </si>
  <si>
    <r>
      <t>2</t>
    </r>
    <r>
      <rPr>
        <vertAlign val="superscript"/>
        <sz val="12"/>
        <color theme="1"/>
        <rFont val="Comic Sans MS"/>
        <family val="4"/>
      </rPr>
      <t>nd</t>
    </r>
    <r>
      <rPr>
        <sz val="12"/>
        <color theme="1"/>
        <rFont val="Comic Sans MS"/>
        <family val="4"/>
      </rPr>
      <t xml:space="preserve"> July 2003</t>
    </r>
  </si>
  <si>
    <r>
      <t xml:space="preserve">Sample Number: </t>
    </r>
    <r>
      <rPr>
        <sz val="12"/>
        <color theme="1"/>
        <rFont val="Comic Sans MS"/>
        <family val="4"/>
      </rPr>
      <t>TGH_TP8</t>
    </r>
  </si>
  <si>
    <r>
      <rPr>
        <u/>
        <sz val="12"/>
        <color theme="1"/>
        <rFont val="Arial"/>
        <family val="2"/>
      </rPr>
      <t>Notes</t>
    </r>
    <r>
      <rPr>
        <sz val="12"/>
        <color theme="1"/>
        <rFont val="Arial"/>
        <family val="2"/>
      </rPr>
      <t>: Applied vacuum for 10 hours</t>
    </r>
  </si>
  <si>
    <t>and soaked for 72 hours.</t>
  </si>
  <si>
    <r>
      <t xml:space="preserve">Specimen x-section area </t>
    </r>
    <r>
      <rPr>
        <i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 (cm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</si>
  <si>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 xml:space="preserve">Standpipe x-section area, </t>
    </r>
    <r>
      <rPr>
        <i/>
        <sz val="12"/>
        <color theme="1"/>
        <rFont val="Times New Roman"/>
        <family val="1"/>
      </rPr>
      <t>a</t>
    </r>
    <r>
      <rPr>
        <sz val="12"/>
        <color theme="1"/>
        <rFont val="Arial"/>
        <family val="2"/>
      </rPr>
      <t xml:space="preserve"> (cm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</si>
  <si>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 xml:space="preserve">Initial height </t>
    </r>
    <r>
      <rPr>
        <i/>
        <sz val="12"/>
        <color theme="1"/>
        <rFont val="Arial"/>
        <family val="2"/>
      </rPr>
      <t>H</t>
    </r>
    <r>
      <rPr>
        <i/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(mm)</t>
    </r>
  </si>
  <si>
    <r>
      <t xml:space="preserve">Final height </t>
    </r>
    <r>
      <rPr>
        <i/>
        <sz val="12"/>
        <color theme="1"/>
        <rFont val="Arial"/>
        <family val="2"/>
      </rPr>
      <t>H</t>
    </r>
    <r>
      <rPr>
        <i/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(mm)</t>
    </r>
  </si>
  <si>
    <r>
      <t xml:space="preserve">Test duration </t>
    </r>
    <r>
      <rPr>
        <i/>
        <sz val="12"/>
        <color theme="1"/>
        <rFont val="Arial"/>
        <family val="2"/>
      </rPr>
      <t>t</t>
    </r>
    <r>
      <rPr>
        <i/>
        <vertAlign val="superscript"/>
        <sz val="12"/>
        <color theme="1"/>
        <rFont val="Arial"/>
        <family val="2"/>
      </rPr>
      <t>*</t>
    </r>
    <r>
      <rPr>
        <sz val="12"/>
        <color theme="1"/>
        <rFont val="Arial"/>
        <family val="2"/>
      </rPr>
      <t xml:space="preserve"> (s)</t>
    </r>
  </si>
  <si>
    <r>
      <rPr>
        <i/>
        <sz val="12"/>
        <color theme="1"/>
        <rFont val="Arial"/>
        <family val="2"/>
      </rPr>
      <t>k</t>
    </r>
    <r>
      <rPr>
        <i/>
        <vertAlign val="subscript"/>
        <sz val="12"/>
        <color theme="1"/>
        <rFont val="Arial"/>
        <family val="2"/>
      </rPr>
      <t>T</t>
    </r>
    <r>
      <rPr>
        <sz val="12"/>
        <color theme="1"/>
        <rFont val="Arial"/>
        <family val="2"/>
      </rPr>
      <t xml:space="preserve"> (cm/s)</t>
    </r>
  </si>
  <si>
    <r>
      <rPr>
        <i/>
        <sz val="12"/>
        <color theme="1"/>
        <rFont val="Arial"/>
        <family val="2"/>
      </rPr>
      <t>k</t>
    </r>
    <r>
      <rPr>
        <i/>
        <vertAlign val="subscript"/>
        <sz val="12"/>
        <color theme="1"/>
        <rFont val="Arial"/>
        <family val="2"/>
      </rPr>
      <t>20</t>
    </r>
    <r>
      <rPr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(cm/s)</t>
    </r>
  </si>
  <si>
    <t>Water table depth (m)</t>
  </si>
  <si>
    <t>Specimen  depth from GL (m)</t>
  </si>
  <si>
    <t>Estimated in situ effecive overburden stress on the specimen (kPa)</t>
  </si>
  <si>
    <t>LL</t>
  </si>
  <si>
    <t>PL</t>
  </si>
  <si>
    <t>PI</t>
  </si>
  <si>
    <t>In situ water content (%)</t>
  </si>
  <si>
    <t>Undrained shear strength (kPa):</t>
  </si>
  <si>
    <r>
      <t>G</t>
    </r>
    <r>
      <rPr>
        <i/>
        <vertAlign val="subscript"/>
        <sz val="12"/>
        <color theme="1"/>
        <rFont val="Arial"/>
        <family val="2"/>
      </rPr>
      <t>s</t>
    </r>
  </si>
  <si>
    <t>Specimen diameter (mm)</t>
  </si>
  <si>
    <t>Initial water content (%)</t>
  </si>
  <si>
    <t>Initial thickness  (mm)</t>
  </si>
  <si>
    <t>Initial wet mass(g)</t>
  </si>
  <si>
    <t>Specimen measurements (Initial and final):</t>
  </si>
  <si>
    <t>Final thickness  (mm)</t>
  </si>
  <si>
    <t>Final water content (%)</t>
  </si>
  <si>
    <t>Dry mass of solids (g)</t>
  </si>
  <si>
    <r>
      <t>x-section area (cm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</si>
  <si>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>Dry density (g/cm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</si>
  <si>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r>
      <t>Void ratio (</t>
    </r>
    <r>
      <rPr>
        <i/>
        <sz val="12"/>
        <color theme="1"/>
        <rFont val="Arial"/>
        <family val="2"/>
      </rPr>
      <t>e</t>
    </r>
    <r>
      <rPr>
        <i/>
        <vertAlign val="subscript"/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)</t>
    </r>
  </si>
  <si>
    <r>
      <t>Void ratio (</t>
    </r>
    <r>
      <rPr>
        <i/>
        <sz val="12"/>
        <color theme="1"/>
        <rFont val="Arial"/>
        <family val="2"/>
      </rPr>
      <t>e</t>
    </r>
    <r>
      <rPr>
        <i/>
        <vertAlign val="subscript"/>
        <sz val="12"/>
        <color theme="1"/>
        <rFont val="Arial"/>
        <family val="2"/>
      </rPr>
      <t>f</t>
    </r>
    <r>
      <rPr>
        <sz val="12"/>
        <color theme="1"/>
        <rFont val="Arial"/>
        <family val="2"/>
      </rPr>
      <t>)</t>
    </r>
  </si>
  <si>
    <t>Degree of sturation (%)</t>
  </si>
  <si>
    <t>33.0 (from UU Triaxial)</t>
  </si>
  <si>
    <t>BH4-4.5m</t>
  </si>
  <si>
    <t>High plastic clay with significant sand</t>
  </si>
  <si>
    <t>In situ and associated specimen data:</t>
  </si>
  <si>
    <r>
      <t xml:space="preserve">Soil classification: </t>
    </r>
    <r>
      <rPr>
        <sz val="12"/>
        <color theme="1"/>
        <rFont val="Comic Sans MS"/>
        <family val="4"/>
      </rPr>
      <t>CH - High plastic clay with some sand</t>
    </r>
  </si>
  <si>
    <t>Void ratio - effective stress plot:</t>
  </si>
  <si>
    <t>Dial gage readings (mm)</t>
  </si>
  <si>
    <t>e</t>
  </si>
  <si>
    <t>NA</t>
  </si>
  <si>
    <t>Final wet mass (g)</t>
  </si>
  <si>
    <t>t (min)</t>
  </si>
  <si>
    <t>d (mm)</t>
  </si>
  <si>
    <t>sqrt t</t>
  </si>
  <si>
    <t>Time</t>
  </si>
  <si>
    <t>Length</t>
  </si>
  <si>
    <t>Width</t>
  </si>
  <si>
    <t>Thickness</t>
  </si>
  <si>
    <t>Specimen dimensions (mm):</t>
  </si>
  <si>
    <r>
      <t>Area (cm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</si>
  <si>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>Volume (cm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</si>
  <si>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Spec. gravity of the grains</t>
  </si>
  <si>
    <t>0 s</t>
  </si>
  <si>
    <t>15 s</t>
  </si>
  <si>
    <t>30 s</t>
  </si>
  <si>
    <t>45 s</t>
  </si>
  <si>
    <t>1 min</t>
  </si>
  <si>
    <t>1.25 min</t>
  </si>
  <si>
    <t>1.5 min</t>
  </si>
  <si>
    <t>1.75 min</t>
  </si>
  <si>
    <t>2 min</t>
  </si>
  <si>
    <t>3 min</t>
  </si>
  <si>
    <t>4 min</t>
  </si>
  <si>
    <t>5 min</t>
  </si>
  <si>
    <t>6 min</t>
  </si>
  <si>
    <t>6.5 min</t>
  </si>
  <si>
    <t>Soil description</t>
  </si>
  <si>
    <t>Brown color fine uniform quartz sand, subrounded grains</t>
  </si>
  <si>
    <t xml:space="preserve">Sample No. </t>
  </si>
  <si>
    <t>CA-1-30 (Lambe 1951)</t>
  </si>
  <si>
    <t>Location</t>
  </si>
  <si>
    <t>Union Falls, Maine, USA</t>
  </si>
  <si>
    <t>Tested by</t>
  </si>
  <si>
    <t>WCS</t>
  </si>
  <si>
    <r>
      <t>Normal load (</t>
    </r>
    <r>
      <rPr>
        <i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>)</t>
    </r>
  </si>
  <si>
    <r>
      <rPr>
        <i/>
        <sz val="12"/>
        <color theme="1"/>
        <rFont val="Symbol"/>
        <family val="1"/>
        <charset val="2"/>
      </rPr>
      <t>d</t>
    </r>
    <r>
      <rPr>
        <i/>
        <vertAlign val="subscript"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(mm)</t>
    </r>
  </si>
  <si>
    <r>
      <rPr>
        <i/>
        <sz val="12"/>
        <color theme="1"/>
        <rFont val="Symbol"/>
        <family val="1"/>
        <charset val="2"/>
      </rPr>
      <t>d</t>
    </r>
    <r>
      <rPr>
        <i/>
        <vertAlign val="subscript"/>
        <sz val="12"/>
        <color theme="1"/>
        <rFont val="Arial"/>
        <family val="2"/>
      </rPr>
      <t>v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(mm)</t>
    </r>
  </si>
  <si>
    <r>
      <rPr>
        <i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 xml:space="preserve"> (N)</t>
    </r>
  </si>
  <si>
    <r>
      <rPr>
        <i/>
        <sz val="12"/>
        <color theme="1"/>
        <rFont val="Symbol"/>
        <family val="1"/>
        <charset val="2"/>
      </rPr>
      <t>t</t>
    </r>
    <r>
      <rPr>
        <sz val="12"/>
        <color theme="1"/>
        <rFont val="Arial"/>
        <family val="2"/>
      </rPr>
      <t xml:space="preserve"> (kPa)</t>
    </r>
  </si>
  <si>
    <r>
      <t xml:space="preserve">Initial water content, </t>
    </r>
    <r>
      <rPr>
        <i/>
        <sz val="12"/>
        <color theme="1"/>
        <rFont val="Arial"/>
        <family val="2"/>
      </rPr>
      <t>w</t>
    </r>
    <r>
      <rPr>
        <i/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(%)</t>
    </r>
  </si>
  <si>
    <r>
      <t>Specimen mass,</t>
    </r>
    <r>
      <rPr>
        <i/>
        <sz val="12"/>
        <color theme="1"/>
        <rFont val="Arial"/>
        <family val="2"/>
      </rPr>
      <t xml:space="preserve"> m</t>
    </r>
    <r>
      <rPr>
        <i/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(g)</t>
    </r>
  </si>
  <si>
    <r>
      <t xml:space="preserve">Normal stress </t>
    </r>
    <r>
      <rPr>
        <i/>
        <sz val="12"/>
        <color theme="1"/>
        <rFont val="Symbol"/>
        <family val="1"/>
        <charset val="2"/>
      </rPr>
      <t>s</t>
    </r>
    <r>
      <rPr>
        <sz val="12"/>
        <color theme="1"/>
        <rFont val="Arial"/>
        <family val="2"/>
      </rPr>
      <t xml:space="preserve"> (kPa)</t>
    </r>
  </si>
  <si>
    <t>S=97</t>
  </si>
  <si>
    <t>S=98</t>
  </si>
  <si>
    <t>S=99</t>
  </si>
  <si>
    <t>S=100</t>
  </si>
  <si>
    <r>
      <t xml:space="preserve">Specimen length, </t>
    </r>
    <r>
      <rPr>
        <i/>
        <sz val="12"/>
        <color theme="1"/>
        <rFont val="Arial"/>
        <family val="2"/>
      </rPr>
      <t>L</t>
    </r>
    <r>
      <rPr>
        <i/>
        <vertAlign val="subscript"/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 xml:space="preserve"> (mm)</t>
    </r>
  </si>
  <si>
    <r>
      <t xml:space="preserve">Specimen diameter, </t>
    </r>
    <r>
      <rPr>
        <i/>
        <sz val="12"/>
        <color theme="1"/>
        <rFont val="Arial"/>
        <family val="2"/>
      </rPr>
      <t>D</t>
    </r>
    <r>
      <rPr>
        <i/>
        <vertAlign val="subscript"/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 xml:space="preserve"> (mm)</t>
    </r>
  </si>
  <si>
    <r>
      <t xml:space="preserve">x-sectional area, </t>
    </r>
    <r>
      <rPr>
        <i/>
        <sz val="12"/>
        <color theme="1"/>
        <rFont val="Arial"/>
        <family val="2"/>
      </rPr>
      <t>A</t>
    </r>
    <r>
      <rPr>
        <i/>
        <vertAlign val="subscript"/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 xml:space="preserve"> (cm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</si>
  <si>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 xml:space="preserve">Volume, </t>
    </r>
    <r>
      <rPr>
        <i/>
        <sz val="12"/>
        <color theme="1"/>
        <rFont val="Arial"/>
        <family val="2"/>
      </rPr>
      <t>V</t>
    </r>
    <r>
      <rPr>
        <i/>
        <vertAlign val="subscript"/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 xml:space="preserve"> (cm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</si>
  <si>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Consolidation:</t>
  </si>
  <si>
    <r>
      <t xml:space="preserve">Cell pressure, </t>
    </r>
    <r>
      <rPr>
        <i/>
        <sz val="12"/>
        <color theme="1"/>
        <rFont val="Symbol"/>
        <family val="1"/>
        <charset val="2"/>
      </rPr>
      <t>s</t>
    </r>
    <r>
      <rPr>
        <i/>
        <vertAlign val="subscript"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 xml:space="preserve"> (kPa)</t>
    </r>
  </si>
  <si>
    <r>
      <t xml:space="preserve">Back pressure, </t>
    </r>
    <r>
      <rPr>
        <i/>
        <sz val="12"/>
        <color theme="1"/>
        <rFont val="Arial"/>
        <family val="2"/>
      </rPr>
      <t>u</t>
    </r>
    <r>
      <rPr>
        <i/>
        <vertAlign val="subscript"/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 xml:space="preserve"> (kPa)</t>
    </r>
  </si>
  <si>
    <t>Initial dimensions:</t>
  </si>
  <si>
    <r>
      <t xml:space="preserve">Change in length, </t>
    </r>
    <r>
      <rPr>
        <i/>
        <sz val="12"/>
        <color theme="1"/>
        <rFont val="Symbol"/>
        <family val="1"/>
        <charset val="2"/>
      </rPr>
      <t>D</t>
    </r>
    <r>
      <rPr>
        <i/>
        <sz val="12"/>
        <color theme="1"/>
        <rFont val="Arial"/>
        <family val="2"/>
      </rPr>
      <t>L</t>
    </r>
    <r>
      <rPr>
        <i/>
        <vertAlign val="subscript"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 xml:space="preserve"> (mm)</t>
    </r>
  </si>
  <si>
    <r>
      <t xml:space="preserve">Change in volume, </t>
    </r>
    <r>
      <rPr>
        <i/>
        <sz val="12"/>
        <color theme="1"/>
        <rFont val="Symbol"/>
        <family val="1"/>
        <charset val="2"/>
      </rPr>
      <t>D</t>
    </r>
    <r>
      <rPr>
        <i/>
        <sz val="12"/>
        <color theme="1"/>
        <rFont val="Arial"/>
        <family val="2"/>
      </rPr>
      <t>V</t>
    </r>
    <r>
      <rPr>
        <i/>
        <vertAlign val="subscript"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 xml:space="preserve"> (cm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</si>
  <si>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Shearing:</t>
  </si>
  <si>
    <t>(min-s)</t>
  </si>
  <si>
    <t>(kPa)</t>
  </si>
  <si>
    <r>
      <t>(cm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</si>
  <si>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t>P</t>
  </si>
  <si>
    <t>Ds</t>
  </si>
  <si>
    <t>u</t>
  </si>
  <si>
    <t>0-0</t>
  </si>
  <si>
    <r>
      <t xml:space="preserve">New cross section, </t>
    </r>
    <r>
      <rPr>
        <i/>
        <sz val="12"/>
        <color theme="1"/>
        <rFont val="Arial"/>
        <family val="2"/>
      </rPr>
      <t>A</t>
    </r>
    <r>
      <rPr>
        <i/>
        <vertAlign val="subscript"/>
        <sz val="12"/>
        <color theme="1"/>
        <rFont val="Arial"/>
        <family val="2"/>
      </rPr>
      <t>c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(cm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</si>
  <si>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 xml:space="preserve">New length, </t>
    </r>
    <r>
      <rPr>
        <i/>
        <sz val="12"/>
        <color theme="1"/>
        <rFont val="Arial"/>
        <family val="2"/>
      </rPr>
      <t>L</t>
    </r>
    <r>
      <rPr>
        <i/>
        <vertAlign val="subscript"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 xml:space="preserve"> (mm)</t>
    </r>
  </si>
  <si>
    <t>(N)</t>
  </si>
  <si>
    <t>3-0</t>
  </si>
  <si>
    <t>6-20</t>
  </si>
  <si>
    <t>8-20</t>
  </si>
  <si>
    <t>10-25</t>
  </si>
  <si>
    <t>11-29</t>
  </si>
  <si>
    <t>9-25</t>
  </si>
  <si>
    <t>13-35</t>
  </si>
  <si>
    <t>17-45</t>
  </si>
  <si>
    <t>19-51</t>
  </si>
  <si>
    <t>26-08</t>
  </si>
  <si>
    <t>(%)</t>
  </si>
  <si>
    <r>
      <rPr>
        <i/>
        <sz val="12"/>
        <color theme="1"/>
        <rFont val="Symbol"/>
        <family val="1"/>
        <charset val="2"/>
      </rPr>
      <t>s</t>
    </r>
    <r>
      <rPr>
        <i/>
        <vertAlign val="subscript"/>
        <sz val="12"/>
        <color theme="1"/>
        <rFont val="Arial"/>
        <family val="2"/>
      </rPr>
      <t>c</t>
    </r>
    <r>
      <rPr>
        <i/>
        <sz val="12"/>
        <color theme="1"/>
        <rFont val="Arial"/>
        <family val="2"/>
      </rPr>
      <t xml:space="preserve"> </t>
    </r>
  </si>
  <si>
    <r>
      <rPr>
        <i/>
        <sz val="12"/>
        <color theme="1"/>
        <rFont val="Symbol"/>
        <family val="1"/>
        <charset val="2"/>
      </rPr>
      <t>D</t>
    </r>
    <r>
      <rPr>
        <i/>
        <sz val="12"/>
        <color theme="1"/>
        <rFont val="Arial"/>
        <family val="2"/>
      </rPr>
      <t>L</t>
    </r>
  </si>
  <si>
    <r>
      <rPr>
        <i/>
        <sz val="12"/>
        <color theme="1"/>
        <rFont val="Symbol"/>
        <family val="1"/>
        <charset val="2"/>
      </rPr>
      <t>s</t>
    </r>
    <r>
      <rPr>
        <i/>
        <vertAlign val="subscript"/>
        <sz val="12"/>
        <color theme="1"/>
        <rFont val="Arial"/>
        <family val="2"/>
      </rPr>
      <t>3</t>
    </r>
    <r>
      <rPr>
        <i/>
        <vertAlign val="superscript"/>
        <sz val="12"/>
        <color theme="1"/>
        <rFont val="Symbol"/>
        <family val="1"/>
        <charset val="2"/>
      </rPr>
      <t>¢</t>
    </r>
    <r>
      <rPr>
        <i/>
        <sz val="12"/>
        <color theme="1"/>
        <rFont val="Arial"/>
        <family val="2"/>
      </rPr>
      <t xml:space="preserve"> </t>
    </r>
  </si>
  <si>
    <r>
      <rPr>
        <i/>
        <sz val="12"/>
        <color theme="1"/>
        <rFont val="Symbol"/>
        <family val="1"/>
        <charset val="2"/>
      </rPr>
      <t>s</t>
    </r>
    <r>
      <rPr>
        <i/>
        <vertAlign val="subscript"/>
        <sz val="12"/>
        <color theme="1"/>
        <rFont val="Arial"/>
        <family val="2"/>
      </rPr>
      <t>1</t>
    </r>
    <r>
      <rPr>
        <i/>
        <vertAlign val="superscript"/>
        <sz val="12"/>
        <color theme="1"/>
        <rFont val="Symbol"/>
        <family val="1"/>
        <charset val="2"/>
      </rPr>
      <t>¢</t>
    </r>
    <r>
      <rPr>
        <i/>
        <sz val="12"/>
        <color theme="1"/>
        <rFont val="Arial"/>
        <family val="2"/>
      </rPr>
      <t xml:space="preserve"> </t>
    </r>
  </si>
  <si>
    <r>
      <rPr>
        <i/>
        <sz val="12"/>
        <color theme="1"/>
        <rFont val="Symbol"/>
        <family val="1"/>
        <charset val="2"/>
      </rPr>
      <t>s</t>
    </r>
    <r>
      <rPr>
        <i/>
        <vertAlign val="subscript"/>
        <sz val="12"/>
        <color theme="1"/>
        <rFont val="Arial"/>
        <family val="2"/>
      </rPr>
      <t>c</t>
    </r>
  </si>
  <si>
    <r>
      <rPr>
        <i/>
        <sz val="12"/>
        <color theme="1"/>
        <rFont val="Symbol"/>
        <family val="1"/>
        <charset val="2"/>
      </rPr>
      <t>D</t>
    </r>
    <r>
      <rPr>
        <i/>
        <sz val="12"/>
        <color theme="1"/>
        <rFont val="Arial"/>
        <family val="2"/>
      </rPr>
      <t xml:space="preserve">L </t>
    </r>
  </si>
  <si>
    <r>
      <t>C</t>
    </r>
    <r>
      <rPr>
        <i/>
        <vertAlign val="subscript"/>
        <sz val="11"/>
        <rFont val="Arial"/>
        <family val="2"/>
      </rPr>
      <t>m</t>
    </r>
  </si>
  <si>
    <r>
      <t>C</t>
    </r>
    <r>
      <rPr>
        <i/>
        <vertAlign val="subscript"/>
        <sz val="11"/>
        <rFont val="Arial"/>
        <family val="2"/>
      </rPr>
      <t>t</t>
    </r>
  </si>
  <si>
    <r>
      <t>C</t>
    </r>
    <r>
      <rPr>
        <i/>
        <vertAlign val="subscript"/>
        <sz val="11"/>
        <rFont val="Arial"/>
        <family val="2"/>
      </rPr>
      <t>a</t>
    </r>
  </si>
  <si>
    <t>B6.7/6. 8</t>
  </si>
  <si>
    <r>
      <rPr>
        <b/>
        <u/>
        <sz val="12"/>
        <color theme="1"/>
        <rFont val="Arial"/>
        <family val="2"/>
      </rPr>
      <t xml:space="preserve">Minimum dry density, </t>
    </r>
    <r>
      <rPr>
        <b/>
        <i/>
        <u/>
        <sz val="12"/>
        <color theme="1"/>
        <rFont val="Symbol"/>
        <family val="1"/>
        <charset val="2"/>
      </rPr>
      <t>r</t>
    </r>
    <r>
      <rPr>
        <b/>
        <i/>
        <u/>
        <vertAlign val="subscript"/>
        <sz val="12"/>
        <color theme="1"/>
        <rFont val="Arial"/>
        <family val="2"/>
      </rPr>
      <t>d,</t>
    </r>
    <r>
      <rPr>
        <b/>
        <u/>
        <vertAlign val="subscript"/>
        <sz val="12"/>
        <color theme="1"/>
        <rFont val="Arial"/>
        <family val="2"/>
      </rPr>
      <t>min</t>
    </r>
    <r>
      <rPr>
        <sz val="12"/>
        <color theme="1"/>
        <rFont val="Arial"/>
        <family val="2"/>
      </rPr>
      <t>:</t>
    </r>
  </si>
  <si>
    <r>
      <rPr>
        <b/>
        <u/>
        <sz val="12"/>
        <color theme="1"/>
        <rFont val="Arial"/>
        <family val="2"/>
      </rPr>
      <t xml:space="preserve">Maximum dry density, </t>
    </r>
    <r>
      <rPr>
        <b/>
        <i/>
        <u/>
        <sz val="12"/>
        <color theme="1"/>
        <rFont val="Symbol"/>
        <family val="1"/>
        <charset val="2"/>
      </rPr>
      <t>r</t>
    </r>
    <r>
      <rPr>
        <b/>
        <i/>
        <u/>
        <vertAlign val="subscript"/>
        <sz val="12"/>
        <color theme="1"/>
        <rFont val="Arial"/>
        <family val="2"/>
      </rPr>
      <t>d,</t>
    </r>
    <r>
      <rPr>
        <b/>
        <u/>
        <vertAlign val="subscript"/>
        <sz val="12"/>
        <color theme="1"/>
        <rFont val="Arial"/>
        <family val="2"/>
      </rPr>
      <t>max</t>
    </r>
    <r>
      <rPr>
        <sz val="12"/>
        <color theme="1"/>
        <rFont val="Arial"/>
        <family val="2"/>
      </rPr>
      <t>:</t>
    </r>
  </si>
  <si>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Arial"/>
        <family val="2"/>
      </rPr>
      <t>H</t>
    </r>
    <r>
      <rPr>
        <sz val="11"/>
        <color theme="1"/>
        <rFont val="Arial"/>
        <family val="2"/>
      </rPr>
      <t xml:space="preserve"> (mm)</t>
    </r>
  </si>
  <si>
    <r>
      <rPr>
        <i/>
        <sz val="11"/>
        <color theme="1"/>
        <rFont val="Symbol"/>
        <family val="1"/>
        <charset val="2"/>
      </rPr>
      <t>s</t>
    </r>
    <r>
      <rPr>
        <i/>
        <vertAlign val="subscript"/>
        <sz val="11"/>
        <color theme="1"/>
        <rFont val="Arial"/>
        <family val="2"/>
      </rPr>
      <t>v</t>
    </r>
    <r>
      <rPr>
        <i/>
        <sz val="11"/>
        <color theme="1"/>
        <rFont val="Symbol"/>
        <family val="1"/>
        <charset val="2"/>
      </rPr>
      <t xml:space="preserve">¢ </t>
    </r>
    <r>
      <rPr>
        <sz val="11"/>
        <color theme="1"/>
        <rFont val="Symbol"/>
        <family val="1"/>
        <charset val="2"/>
      </rPr>
      <t>(</t>
    </r>
    <r>
      <rPr>
        <sz val="11"/>
        <color theme="1"/>
        <rFont val="Arial Narrow"/>
        <family val="2"/>
      </rPr>
      <t>kPa</t>
    </r>
    <r>
      <rPr>
        <sz val="11"/>
        <color theme="1"/>
        <rFont val="Symbol"/>
        <family val="1"/>
        <charset val="2"/>
      </rPr>
      <t>)</t>
    </r>
  </si>
  <si>
    <r>
      <t>d</t>
    </r>
    <r>
      <rPr>
        <i/>
        <vertAlign val="subscript"/>
        <sz val="11"/>
        <color theme="1"/>
        <rFont val="Arial"/>
        <family val="2"/>
      </rPr>
      <t>0</t>
    </r>
  </si>
  <si>
    <r>
      <t>d</t>
    </r>
    <r>
      <rPr>
        <i/>
        <vertAlign val="subscript"/>
        <sz val="11"/>
        <color theme="1"/>
        <rFont val="Arial"/>
        <family val="2"/>
      </rPr>
      <t>100</t>
    </r>
  </si>
  <si>
    <r>
      <t>d</t>
    </r>
    <r>
      <rPr>
        <i/>
        <vertAlign val="subscript"/>
        <sz val="11"/>
        <color theme="1"/>
        <rFont val="Arial"/>
        <family val="2"/>
      </rPr>
      <t>f</t>
    </r>
  </si>
  <si>
    <r>
      <rPr>
        <i/>
        <sz val="11"/>
        <color theme="1"/>
        <rFont val="Arial"/>
        <family val="2"/>
      </rPr>
      <t>H</t>
    </r>
    <r>
      <rPr>
        <i/>
        <vertAlign val="sub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 xml:space="preserve"> (mm)</t>
    </r>
  </si>
  <si>
    <r>
      <rPr>
        <i/>
        <sz val="11"/>
        <color theme="1"/>
        <rFont val="Arial"/>
        <family val="2"/>
      </rPr>
      <t>H</t>
    </r>
    <r>
      <rPr>
        <i/>
        <vertAlign val="subscript"/>
        <sz val="11"/>
        <color theme="1"/>
        <rFont val="Arial"/>
        <family val="2"/>
      </rPr>
      <t>f</t>
    </r>
    <r>
      <rPr>
        <sz val="11"/>
        <color theme="1"/>
        <rFont val="Arial"/>
        <family val="2"/>
      </rPr>
      <t xml:space="preserve"> (mm)</t>
    </r>
  </si>
  <si>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Arial"/>
        <family val="2"/>
      </rPr>
      <t>e</t>
    </r>
  </si>
</sst>
</file>

<file path=xl/styles.xml><?xml version="1.0" encoding="utf-8"?>
<styleSheet xmlns="http://schemas.openxmlformats.org/spreadsheetml/2006/main">
  <numFmts count="7">
    <numFmt numFmtId="164" formatCode="0.0"/>
    <numFmt numFmtId="165" formatCode="[$-C09]dd\-mmmm\-yyyy;@"/>
    <numFmt numFmtId="166" formatCode="h:mm:ss;@"/>
    <numFmt numFmtId="167" formatCode="0.0000"/>
    <numFmt numFmtId="168" formatCode="0.00000"/>
    <numFmt numFmtId="169" formatCode="0.000"/>
    <numFmt numFmtId="170" formatCode="0.0E+00"/>
  </numFmts>
  <fonts count="4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Comic Sans MS"/>
      <family val="4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vertAlign val="subscript"/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omic Sans MS"/>
      <family val="4"/>
    </font>
    <font>
      <vertAlign val="subscript"/>
      <sz val="11"/>
      <name val="Arial"/>
      <family val="2"/>
    </font>
    <font>
      <sz val="11"/>
      <name val="Symbol"/>
      <family val="1"/>
      <charset val="2"/>
    </font>
    <font>
      <u/>
      <sz val="11"/>
      <name val="Arial"/>
      <family val="2"/>
    </font>
    <font>
      <sz val="10"/>
      <name val="Arial"/>
    </font>
    <font>
      <sz val="12"/>
      <name val="Calibri"/>
      <family val="2"/>
    </font>
    <font>
      <sz val="12"/>
      <name val="Arial"/>
      <family val="2"/>
    </font>
    <font>
      <sz val="12"/>
      <name val="Comic Sans MS"/>
      <family val="4"/>
    </font>
    <font>
      <i/>
      <sz val="12"/>
      <name val="Arial"/>
      <family val="2"/>
    </font>
    <font>
      <i/>
      <vertAlign val="subscript"/>
      <sz val="12"/>
      <name val="Arial"/>
      <family val="2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Symbol"/>
      <family val="1"/>
      <charset val="2"/>
    </font>
    <font>
      <sz val="12"/>
      <color indexed="8"/>
      <name val="Calibri"/>
      <family val="2"/>
    </font>
    <font>
      <sz val="12"/>
      <color indexed="8"/>
      <name val="Comic Sans MS"/>
      <family val="4"/>
    </font>
    <font>
      <u/>
      <sz val="12"/>
      <color theme="1"/>
      <name val="Arial"/>
      <family val="2"/>
    </font>
    <font>
      <i/>
      <sz val="12"/>
      <color theme="1"/>
      <name val="Symbol"/>
      <family val="1"/>
      <charset val="2"/>
    </font>
    <font>
      <i/>
      <u/>
      <sz val="12"/>
      <color theme="1"/>
      <name val="Arial"/>
      <family val="2"/>
    </font>
    <font>
      <i/>
      <u/>
      <sz val="12"/>
      <color theme="1"/>
      <name val="Symbol"/>
      <family val="1"/>
      <charset val="2"/>
    </font>
    <font>
      <i/>
      <u/>
      <vertAlign val="subscript"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u/>
      <sz val="12"/>
      <color theme="1"/>
      <name val="Symbol"/>
      <family val="1"/>
      <charset val="2"/>
    </font>
    <font>
      <b/>
      <i/>
      <u/>
      <vertAlign val="sub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vertAlign val="superscript"/>
      <sz val="12"/>
      <color theme="1"/>
      <name val="Comic Sans MS"/>
      <family val="4"/>
    </font>
    <font>
      <i/>
      <sz val="12"/>
      <color theme="1"/>
      <name val="Times New Roman"/>
      <family val="1"/>
    </font>
    <font>
      <i/>
      <vertAlign val="superscript"/>
      <sz val="12"/>
      <color theme="1"/>
      <name val="Arial"/>
      <family val="2"/>
    </font>
    <font>
      <sz val="11"/>
      <color theme="1"/>
      <name val="Comic Sans MS"/>
      <family val="4"/>
    </font>
    <font>
      <i/>
      <vertAlign val="superscript"/>
      <sz val="12"/>
      <color theme="1"/>
      <name val="Symbol"/>
      <family val="1"/>
      <charset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u/>
      <vertAlign val="subscript"/>
      <sz val="12"/>
      <color theme="1"/>
      <name val="Arial"/>
      <family val="2"/>
    </font>
    <font>
      <i/>
      <sz val="11"/>
      <color theme="1"/>
      <name val="Symbol"/>
      <family val="1"/>
      <charset val="2"/>
    </font>
    <font>
      <i/>
      <sz val="11"/>
      <color theme="1"/>
      <name val="Arial"/>
      <family val="2"/>
    </font>
    <font>
      <i/>
      <vertAlign val="subscript"/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250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 applyAlignment="1">
      <alignment horizontal="left"/>
    </xf>
    <xf numFmtId="0" fontId="0" fillId="0" borderId="1" xfId="0" applyBorder="1"/>
    <xf numFmtId="0" fontId="0" fillId="0" borderId="3" xfId="0" applyBorder="1"/>
    <xf numFmtId="0" fontId="2" fillId="0" borderId="6" xfId="0" applyFont="1" applyBorder="1"/>
    <xf numFmtId="0" fontId="0" fillId="0" borderId="0" xfId="0" applyBorder="1" applyAlignment="1">
      <alignment horizontal="left"/>
    </xf>
    <xf numFmtId="0" fontId="0" fillId="2" borderId="1" xfId="0" applyFill="1" applyBorder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0" fontId="9" fillId="0" borderId="0" xfId="1" applyFont="1" applyBorder="1"/>
    <xf numFmtId="164" fontId="10" fillId="0" borderId="0" xfId="1" applyNumberFormat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/>
    <xf numFmtId="166" fontId="10" fillId="0" borderId="0" xfId="1" applyNumberFormat="1" applyFont="1" applyBorder="1"/>
    <xf numFmtId="166" fontId="9" fillId="0" borderId="0" xfId="1" applyNumberFormat="1" applyFont="1"/>
    <xf numFmtId="0" fontId="10" fillId="0" borderId="1" xfId="1" applyFont="1" applyBorder="1"/>
    <xf numFmtId="164" fontId="9" fillId="0" borderId="0" xfId="1" applyNumberFormat="1" applyFont="1"/>
    <xf numFmtId="168" fontId="10" fillId="0" borderId="0" xfId="1" applyNumberFormat="1" applyFont="1" applyBorder="1" applyAlignment="1">
      <alignment horizontal="center"/>
    </xf>
    <xf numFmtId="166" fontId="10" fillId="0" borderId="1" xfId="1" applyNumberFormat="1" applyFont="1" applyBorder="1"/>
    <xf numFmtId="0" fontId="10" fillId="0" borderId="1" xfId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168" fontId="10" fillId="0" borderId="1" xfId="1" applyNumberFormat="1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2"/>
    <xf numFmtId="0" fontId="14" fillId="0" borderId="0" xfId="2" applyBorder="1"/>
    <xf numFmtId="164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1" fillId="0" borderId="0" xfId="0" applyFont="1"/>
    <xf numFmtId="0" fontId="16" fillId="0" borderId="0" xfId="2" applyFont="1" applyBorder="1" applyAlignment="1">
      <alignment horizontal="left"/>
    </xf>
    <xf numFmtId="0" fontId="2" fillId="0" borderId="0" xfId="0" applyFont="1" applyAlignment="1">
      <alignment horizontal="center"/>
    </xf>
    <xf numFmtId="0" fontId="16" fillId="0" borderId="0" xfId="2" applyFont="1" applyBorder="1" applyAlignment="1"/>
    <xf numFmtId="0" fontId="21" fillId="0" borderId="0" xfId="0" applyFont="1" applyBorder="1"/>
    <xf numFmtId="0" fontId="2" fillId="0" borderId="1" xfId="0" applyFont="1" applyBorder="1"/>
    <xf numFmtId="0" fontId="21" fillId="0" borderId="1" xfId="0" applyFont="1" applyBorder="1"/>
    <xf numFmtId="0" fontId="2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5" fillId="0" borderId="0" xfId="2" applyNumberFormat="1" applyFont="1" applyBorder="1" applyAlignment="1">
      <alignment horizontal="center"/>
    </xf>
    <xf numFmtId="2" fontId="23" fillId="0" borderId="0" xfId="2" applyNumberFormat="1" applyFont="1" applyBorder="1" applyAlignment="1">
      <alignment horizontal="center"/>
    </xf>
    <xf numFmtId="0" fontId="17" fillId="0" borderId="0" xfId="2" applyFont="1" applyBorder="1" applyAlignment="1">
      <alignment horizontal="center"/>
    </xf>
    <xf numFmtId="2" fontId="17" fillId="0" borderId="0" xfId="2" applyNumberFormat="1" applyFont="1" applyBorder="1" applyAlignment="1">
      <alignment horizontal="center"/>
    </xf>
    <xf numFmtId="2" fontId="17" fillId="0" borderId="1" xfId="2" applyNumberFormat="1" applyFont="1" applyBorder="1" applyAlignment="1">
      <alignment horizontal="center"/>
    </xf>
    <xf numFmtId="2" fontId="24" fillId="0" borderId="1" xfId="2" applyNumberFormat="1" applyFont="1" applyBorder="1" applyAlignment="1">
      <alignment horizontal="center"/>
    </xf>
    <xf numFmtId="0" fontId="2" fillId="0" borderId="0" xfId="0" applyFont="1" applyAlignment="1"/>
    <xf numFmtId="0" fontId="2" fillId="0" borderId="3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7" xfId="0" applyFont="1" applyBorder="1"/>
    <xf numFmtId="0" fontId="4" fillId="0" borderId="7" xfId="0" applyFont="1" applyBorder="1"/>
    <xf numFmtId="2" fontId="4" fillId="0" borderId="0" xfId="0" applyNumberFormat="1" applyFont="1" applyBorder="1"/>
    <xf numFmtId="2" fontId="4" fillId="0" borderId="7" xfId="0" applyNumberFormat="1" applyFont="1" applyBorder="1"/>
    <xf numFmtId="2" fontId="4" fillId="0" borderId="1" xfId="0" applyNumberFormat="1" applyFont="1" applyBorder="1"/>
    <xf numFmtId="169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>
      <alignment horizontal="left"/>
    </xf>
    <xf numFmtId="170" fontId="4" fillId="0" borderId="0" xfId="0" applyNumberFormat="1" applyFont="1" applyBorder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6" xfId="0" applyFont="1" applyBorder="1" applyAlignment="1"/>
    <xf numFmtId="0" fontId="2" fillId="0" borderId="0" xfId="0" applyFont="1" applyBorder="1" applyAlignment="1"/>
    <xf numFmtId="0" fontId="6" fillId="0" borderId="8" xfId="0" applyFont="1" applyBorder="1"/>
    <xf numFmtId="164" fontId="2" fillId="0" borderId="0" xfId="0" applyNumberFormat="1" applyFont="1" applyBorder="1"/>
    <xf numFmtId="164" fontId="4" fillId="0" borderId="0" xfId="0" applyNumberFormat="1" applyFont="1" applyBorder="1"/>
    <xf numFmtId="169" fontId="4" fillId="0" borderId="0" xfId="0" applyNumberFormat="1" applyFont="1" applyBorder="1"/>
    <xf numFmtId="169" fontId="4" fillId="0" borderId="7" xfId="0" applyNumberFormat="1" applyFont="1" applyBorder="1"/>
    <xf numFmtId="164" fontId="4" fillId="0" borderId="9" xfId="0" applyNumberFormat="1" applyFont="1" applyBorder="1"/>
    <xf numFmtId="0" fontId="6" fillId="0" borderId="1" xfId="0" applyFont="1" applyBorder="1"/>
    <xf numFmtId="0" fontId="25" fillId="0" borderId="4" xfId="0" applyFont="1" applyBorder="1"/>
    <xf numFmtId="0" fontId="25" fillId="0" borderId="3" xfId="0" applyFont="1" applyBorder="1"/>
    <xf numFmtId="0" fontId="25" fillId="0" borderId="6" xfId="0" applyFont="1" applyBorder="1"/>
    <xf numFmtId="0" fontId="25" fillId="0" borderId="0" xfId="0" applyFont="1" applyBorder="1"/>
    <xf numFmtId="164" fontId="2" fillId="0" borderId="6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9" fontId="2" fillId="0" borderId="9" xfId="0" applyNumberFormat="1" applyFont="1" applyBorder="1" applyAlignment="1">
      <alignment horizontal="center"/>
    </xf>
    <xf numFmtId="0" fontId="4" fillId="0" borderId="0" xfId="0" applyFont="1" applyBorder="1" applyAlignment="1"/>
    <xf numFmtId="165" fontId="4" fillId="0" borderId="0" xfId="0" applyNumberFormat="1" applyFont="1" applyBorder="1" applyAlignment="1"/>
    <xf numFmtId="2" fontId="2" fillId="0" borderId="0" xfId="0" applyNumberFormat="1" applyFont="1" applyBorder="1" applyAlignment="1"/>
    <xf numFmtId="164" fontId="2" fillId="0" borderId="0" xfId="0" applyNumberFormat="1" applyFont="1" applyBorder="1" applyAlignment="1"/>
    <xf numFmtId="169" fontId="2" fillId="0" borderId="0" xfId="0" applyNumberFormat="1" applyFont="1" applyBorder="1" applyAlignment="1"/>
    <xf numFmtId="169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/>
    <xf numFmtId="169" fontId="2" fillId="0" borderId="0" xfId="0" applyNumberFormat="1" applyFont="1" applyBorder="1"/>
    <xf numFmtId="169" fontId="0" fillId="0" borderId="0" xfId="0" applyNumberFormat="1" applyBorder="1" applyAlignment="1">
      <alignment horizontal="left"/>
    </xf>
    <xf numFmtId="169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/>
    <xf numFmtId="1" fontId="2" fillId="0" borderId="0" xfId="0" applyNumberFormat="1" applyFont="1" applyBorder="1"/>
    <xf numFmtId="2" fontId="2" fillId="0" borderId="0" xfId="0" applyNumberFormat="1" applyFont="1"/>
    <xf numFmtId="0" fontId="4" fillId="0" borderId="3" xfId="0" applyFont="1" applyBorder="1"/>
    <xf numFmtId="169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/>
    <xf numFmtId="0" fontId="4" fillId="0" borderId="1" xfId="0" applyFont="1" applyBorder="1" applyAlignment="1">
      <alignment horizontal="center"/>
    </xf>
    <xf numFmtId="169" fontId="0" fillId="0" borderId="0" xfId="0" applyNumberFormat="1"/>
    <xf numFmtId="0" fontId="37" fillId="0" borderId="0" xfId="0" applyFont="1"/>
    <xf numFmtId="164" fontId="4" fillId="0" borderId="0" xfId="0" applyNumberFormat="1" applyFont="1"/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2" fillId="0" borderId="0" xfId="0" applyNumberFormat="1" applyFont="1" applyBorder="1"/>
    <xf numFmtId="0" fontId="2" fillId="2" borderId="1" xfId="0" applyFont="1" applyFill="1" applyBorder="1"/>
    <xf numFmtId="2" fontId="5" fillId="2" borderId="1" xfId="0" applyNumberFormat="1" applyFont="1" applyFill="1" applyBorder="1"/>
    <xf numFmtId="165" fontId="10" fillId="0" borderId="0" xfId="1" applyNumberFormat="1" applyFont="1" applyBorder="1"/>
    <xf numFmtId="164" fontId="9" fillId="0" borderId="0" xfId="1" applyNumberFormat="1" applyFont="1" applyBorder="1"/>
    <xf numFmtId="165" fontId="10" fillId="0" borderId="1" xfId="1" applyNumberFormat="1" applyFont="1" applyBorder="1"/>
    <xf numFmtId="164" fontId="9" fillId="0" borderId="1" xfId="1" applyNumberFormat="1" applyFont="1" applyBorder="1"/>
    <xf numFmtId="0" fontId="9" fillId="0" borderId="3" xfId="1" applyFont="1" applyBorder="1"/>
    <xf numFmtId="0" fontId="9" fillId="0" borderId="3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39" fillId="0" borderId="3" xfId="1" applyFont="1" applyBorder="1" applyAlignment="1"/>
    <xf numFmtId="0" fontId="39" fillId="0" borderId="0" xfId="1" applyFont="1" applyBorder="1"/>
    <xf numFmtId="0" fontId="10" fillId="0" borderId="3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39" fillId="0" borderId="0" xfId="1" applyFont="1" applyBorder="1" applyAlignment="1">
      <alignment horizontal="center"/>
    </xf>
    <xf numFmtId="0" fontId="16" fillId="0" borderId="0" xfId="2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4" fillId="0" borderId="1" xfId="0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1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1" xfId="0" applyFont="1" applyBorder="1" applyAlignment="1">
      <alignment horizontal="left"/>
    </xf>
    <xf numFmtId="0" fontId="2" fillId="0" borderId="4" xfId="0" applyFont="1" applyBorder="1" applyAlignment="1"/>
    <xf numFmtId="0" fontId="2" fillId="0" borderId="3" xfId="0" applyFont="1" applyBorder="1" applyAlignment="1"/>
    <xf numFmtId="0" fontId="4" fillId="0" borderId="3" xfId="0" applyFont="1" applyBorder="1" applyAlignment="1">
      <alignment horizontal="left"/>
    </xf>
    <xf numFmtId="167" fontId="4" fillId="0" borderId="1" xfId="0" applyNumberFormat="1" applyFont="1" applyBorder="1"/>
    <xf numFmtId="0" fontId="4" fillId="0" borderId="9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/>
    <xf numFmtId="0" fontId="25" fillId="0" borderId="4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6" xfId="0" applyFont="1" applyBorder="1" applyAlignment="1"/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5" fontId="4" fillId="0" borderId="0" xfId="0" applyNumberFormat="1" applyFont="1" applyBorder="1" applyAlignment="1">
      <alignment horizontal="left"/>
    </xf>
    <xf numFmtId="0" fontId="2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1" xfId="2" applyFont="1" applyBorder="1" applyAlignment="1">
      <alignment horizontal="left"/>
    </xf>
    <xf numFmtId="0" fontId="16" fillId="0" borderId="0" xfId="2" applyFont="1" applyBorder="1" applyAlignment="1">
      <alignment horizontal="left"/>
    </xf>
    <xf numFmtId="0" fontId="16" fillId="0" borderId="3" xfId="2" applyFont="1" applyBorder="1" applyAlignment="1">
      <alignment horizontal="left"/>
    </xf>
    <xf numFmtId="0" fontId="2" fillId="0" borderId="3" xfId="0" applyFont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0" fontId="9" fillId="0" borderId="3" xfId="1" applyFont="1" applyBorder="1" applyAlignment="1">
      <alignment horizontal="center" textRotation="90"/>
    </xf>
    <xf numFmtId="0" fontId="9" fillId="0" borderId="0" xfId="1" applyFont="1" applyBorder="1" applyAlignment="1">
      <alignment horizontal="center" textRotation="90"/>
    </xf>
    <xf numFmtId="0" fontId="9" fillId="0" borderId="1" xfId="1" applyFont="1" applyBorder="1" applyAlignment="1">
      <alignment horizontal="center" textRotation="90"/>
    </xf>
    <xf numFmtId="167" fontId="10" fillId="0" borderId="0" xfId="1" applyNumberFormat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10" fillId="0" borderId="3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9" fillId="0" borderId="3" xfId="1" applyFont="1" applyBorder="1" applyAlignment="1">
      <alignment horizontal="left"/>
    </xf>
    <xf numFmtId="0" fontId="9" fillId="0" borderId="3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2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300218722659753"/>
          <c:y val="3.3720636856611585E-2"/>
          <c:w val="0.77774081364830516"/>
          <c:h val="0.8129585851882411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xVal>
            <c:numRef>
              <c:f>Consol!$A$27:$A$34</c:f>
              <c:numCache>
                <c:formatCode>0.0</c:formatCode>
                <c:ptCount val="8"/>
                <c:pt idx="0">
                  <c:v>20</c:v>
                </c:pt>
                <c:pt idx="1">
                  <c:v>37.9</c:v>
                </c:pt>
                <c:pt idx="2">
                  <c:v>69.7</c:v>
                </c:pt>
                <c:pt idx="3">
                  <c:v>137.4</c:v>
                </c:pt>
                <c:pt idx="4">
                  <c:v>272.60000000000002</c:v>
                </c:pt>
                <c:pt idx="5">
                  <c:v>543</c:v>
                </c:pt>
                <c:pt idx="6">
                  <c:v>137.4</c:v>
                </c:pt>
                <c:pt idx="7">
                  <c:v>20</c:v>
                </c:pt>
              </c:numCache>
            </c:numRef>
          </c:xVal>
          <c:yVal>
            <c:numRef>
              <c:f>Consol!$I$27:$I$34</c:f>
              <c:numCache>
                <c:formatCode>0.000</c:formatCode>
                <c:ptCount val="8"/>
                <c:pt idx="0">
                  <c:v>1.6957352923026014</c:v>
                </c:pt>
                <c:pt idx="1">
                  <c:v>1.6830118981734368</c:v>
                </c:pt>
                <c:pt idx="2">
                  <c:v>1.6474134656631143</c:v>
                </c:pt>
                <c:pt idx="3">
                  <c:v>1.4638717375870787</c:v>
                </c:pt>
                <c:pt idx="4">
                  <c:v>1.2214504728494826</c:v>
                </c:pt>
                <c:pt idx="5">
                  <c:v>1.001633535979658</c:v>
                </c:pt>
                <c:pt idx="6">
                  <c:v>1.0670101249624937</c:v>
                </c:pt>
                <c:pt idx="7">
                  <c:v>1.2237515122132676</c:v>
                </c:pt>
              </c:numCache>
            </c:numRef>
          </c:yVal>
        </c:ser>
        <c:axId val="77130368"/>
        <c:axId val="77420032"/>
      </c:scatterChart>
      <c:valAx>
        <c:axId val="77130368"/>
        <c:scaling>
          <c:logBase val="10"/>
          <c:orientation val="minMax"/>
          <c:min val="1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>
                    <a:sym typeface="Symbol"/>
                  </a:defRPr>
                </a:pPr>
                <a:r>
                  <a:rPr lang="en-US" sz="1200" b="0" i="1">
                    <a:latin typeface="Arial" pitchFamily="34" charset="0"/>
                    <a:cs typeface="Arial" pitchFamily="34" charset="0"/>
                    <a:sym typeface="Symbol"/>
                  </a:rPr>
                  <a:t></a:t>
                </a:r>
                <a:r>
                  <a:rPr lang="en-US" sz="1200" b="0" i="1" baseline="-25000">
                    <a:latin typeface="Arial" pitchFamily="34" charset="0"/>
                    <a:cs typeface="Arial" pitchFamily="34" charset="0"/>
                    <a:sym typeface="Symbol"/>
                  </a:rPr>
                  <a:t>v</a:t>
                </a:r>
                <a:r>
                  <a:rPr lang="en-US" sz="1200" b="0" i="1">
                    <a:latin typeface="Arial" pitchFamily="34" charset="0"/>
                    <a:cs typeface="Arial" pitchFamily="34" charset="0"/>
                    <a:sym typeface="Symbol"/>
                  </a:rPr>
                  <a:t></a:t>
                </a:r>
                <a:r>
                  <a:rPr lang="en-US" sz="1200" b="0">
                    <a:latin typeface="Arial" pitchFamily="34" charset="0"/>
                    <a:cs typeface="Arial" pitchFamily="34" charset="0"/>
                    <a:sym typeface="Symbol"/>
                  </a:rPr>
                  <a:t> (kPa)</a:t>
                </a:r>
              </a:p>
            </c:rich>
          </c:tx>
        </c:title>
        <c:numFmt formatCode="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7420032"/>
        <c:crosses val="autoZero"/>
        <c:crossBetween val="midCat"/>
      </c:valAx>
      <c:valAx>
        <c:axId val="77420032"/>
        <c:scaling>
          <c:orientation val="minMax"/>
          <c:max val="1.8"/>
          <c:min val="0.8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i="1"/>
                </a:pPr>
                <a:r>
                  <a:rPr lang="en-US" sz="1200" b="0" i="1">
                    <a:latin typeface="Arial" pitchFamily="34" charset="0"/>
                    <a:cs typeface="Arial" pitchFamily="34" charset="0"/>
                  </a:rPr>
                  <a:t>e</a:t>
                </a:r>
              </a:p>
            </c:rich>
          </c:tx>
        </c:title>
        <c:numFmt formatCode="0.0" sourceLinked="0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7130368"/>
        <c:crossesAt val="1"/>
        <c:crossBetween val="midCat"/>
        <c:majorUnit val="0.2"/>
        <c:minorUnit val="0.05"/>
      </c:valAx>
    </c:plotArea>
    <c:plotVisOnly val="1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726618547681732"/>
          <c:y val="5.1400554097404488E-2"/>
          <c:w val="0.81810192475940502"/>
          <c:h val="0.756558398950131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LL_Casagrande!$E$15:$H$15</c:f>
              <c:numCache>
                <c:formatCode>General</c:formatCode>
                <c:ptCount val="4"/>
                <c:pt idx="0">
                  <c:v>36</c:v>
                </c:pt>
                <c:pt idx="1">
                  <c:v>28</c:v>
                </c:pt>
                <c:pt idx="2">
                  <c:v>21</c:v>
                </c:pt>
                <c:pt idx="3">
                  <c:v>17</c:v>
                </c:pt>
              </c:numCache>
            </c:numRef>
          </c:xVal>
          <c:yVal>
            <c:numRef>
              <c:f>LL_Casagrande!$E$14:$H$14</c:f>
              <c:numCache>
                <c:formatCode>General</c:formatCode>
                <c:ptCount val="4"/>
                <c:pt idx="0">
                  <c:v>53.279515640766874</c:v>
                </c:pt>
                <c:pt idx="1">
                  <c:v>55.487053020961774</c:v>
                </c:pt>
                <c:pt idx="2">
                  <c:v>61.482254697286024</c:v>
                </c:pt>
                <c:pt idx="3">
                  <c:v>64.875000000000014</c:v>
                </c:pt>
              </c:numCache>
            </c:numRef>
          </c:yVal>
        </c:ser>
        <c:axId val="78762752"/>
        <c:axId val="78764672"/>
      </c:scatterChart>
      <c:valAx>
        <c:axId val="78762752"/>
        <c:scaling>
          <c:logBase val="10"/>
          <c:orientation val="minMax"/>
          <c:max val="50"/>
          <c:min val="1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No. of blows, </a:t>
                </a:r>
                <a:r>
                  <a:rPr lang="en-US" sz="1200" b="0" i="1"/>
                  <a:t>N</a:t>
                </a:r>
              </a:p>
            </c:rich>
          </c:tx>
          <c:layout>
            <c:manualLayout>
              <c:xMode val="edge"/>
              <c:yMode val="edge"/>
              <c:x val="0.46763294832048435"/>
              <c:y val="0.9149005884068413"/>
            </c:manualLayout>
          </c:layout>
        </c:title>
        <c:numFmt formatCode="General" sourceLinked="0"/>
        <c:minorTickMark val="in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8764672"/>
        <c:crosses val="autoZero"/>
        <c:crossBetween val="midCat"/>
        <c:majorUnit val="5"/>
        <c:minorUnit val="5"/>
      </c:valAx>
      <c:valAx>
        <c:axId val="78764672"/>
        <c:scaling>
          <c:orientation val="minMax"/>
          <c:min val="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Water content (%)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8762752"/>
        <c:crosses val="autoZero"/>
        <c:crossBetween val="midCat"/>
      </c:valAx>
    </c:plotArea>
    <c:plotVisOnly val="1"/>
  </c:chart>
  <c:spPr>
    <a:solidFill>
      <a:schemeClr val="bg1"/>
    </a:solidFill>
    <a:ln>
      <a:noFill/>
    </a:ln>
  </c:sp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129855643044621"/>
          <c:y val="5.0925925925925923E-2"/>
          <c:w val="0.84406955380577464"/>
          <c:h val="0.75240339749198015"/>
        </c:manualLayout>
      </c:layout>
      <c:scatterChart>
        <c:scatterStyle val="lineMarker"/>
        <c:ser>
          <c:idx val="1"/>
          <c:order val="0"/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LL_Casagrande!$L$9:$L$10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LL_Casagrande!$M$9:$M$10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2"/>
          <c:order val="1"/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LL_Casagrande!$L$11:$L$12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LL_Casagrande!$M$11:$M$12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3"/>
          <c:order val="2"/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LL_Casagrande!$L$13:$L$14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xVal>
          <c:yVal>
            <c:numRef>
              <c:f>LL_Casagrande!$M$13:$M$14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4"/>
          <c:order val="3"/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LL_Casagrande!$L$15:$L$16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LL_Casagrande!$M$15:$M$16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0"/>
          <c:order val="4"/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LL_Casagrande!$L$7:$L$8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LL_Casagrande!$M$7:$M$8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5"/>
          <c:order val="5"/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LL_Casagrande!$O$7:$O$8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LL_Casagrande!$P$7:$P$8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6"/>
          <c:order val="6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LL_Casagrande!$O$9:$O$10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LL_Casagrande!$P$9:$P$10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7"/>
          <c:order val="7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LL_Casagrande!$O$11:$O$12</c:f>
              <c:numCache>
                <c:formatCode>General</c:formatCod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xVal>
          <c:yVal>
            <c:numRef>
              <c:f>LL_Casagrande!$P$11:$P$12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8"/>
          <c:order val="8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LL_Casagrande!$O$13:$O$14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xVal>
          <c:yVal>
            <c:numRef>
              <c:f>LL_Casagrande!$P$13:$P$14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9"/>
          <c:order val="9"/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LL_Casagrande!$O$15:$O$16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LL_Casagrande!$P$15:$P$16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0"/>
          <c:order val="10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LL_Casagrande!$R$7:$R$8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LL_Casagrande!$S$7:$S$8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1"/>
          <c:order val="11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LL_Casagrande!$R$9:$R$10</c:f>
              <c:numCache>
                <c:formatCode>General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xVal>
          <c:yVal>
            <c:numRef>
              <c:f>LL_Casagrande!$S$9:$S$10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2"/>
          <c:order val="12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LL_Casagrande!$R$11:$R$12</c:f>
              <c:numCache>
                <c:formatCode>General</c:formatCod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xVal>
          <c:yVal>
            <c:numRef>
              <c:f>LL_Casagrande!$S$11:$S$12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3"/>
          <c:order val="13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LL_Casagrande!$R$13:$R$14</c:f>
              <c:numCache>
                <c:formatCode>General</c:formatCod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LL_Casagrande!$S$13:$S$14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4"/>
          <c:order val="14"/>
          <c:spPr>
            <a:ln w="127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xVal>
            <c:numRef>
              <c:f>LL_Casagrande!$U$7:$U$8</c:f>
              <c:numCache>
                <c:formatCode>General</c:formatCod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xVal>
          <c:yVal>
            <c:numRef>
              <c:f>LL_Casagrande!$V$7:$V$8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5"/>
          <c:order val="15"/>
          <c:spPr>
            <a:ln w="127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xVal>
            <c:numRef>
              <c:f>LL_Casagrande!$U$9:$U$10</c:f>
              <c:numCache>
                <c:formatCode>General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xVal>
          <c:yVal>
            <c:numRef>
              <c:f>LL_Casagrande!$V$9:$V$10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6"/>
          <c:order val="16"/>
          <c:spPr>
            <a:ln w="127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xVal>
            <c:numRef>
              <c:f>LL_Casagrande!$U$11:$U$12</c:f>
              <c:numCache>
                <c:formatCode>General</c:formatCod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xVal>
          <c:yVal>
            <c:numRef>
              <c:f>LL_Casagrande!$V$11:$V$12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7"/>
          <c:order val="17"/>
          <c:spPr>
            <a:ln w="127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xVal>
            <c:numRef>
              <c:f>LL_Casagrande!$U$13:$U$14</c:f>
              <c:numCache>
                <c:formatCode>General</c:formatCod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xVal>
          <c:yVal>
            <c:numRef>
              <c:f>LL_Casagrande!$V$13:$V$14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8"/>
          <c:order val="18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LL_Casagrande!$U$15:$U$16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LL_Casagrande!$V$15:$V$16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9"/>
          <c:order val="19"/>
          <c:spPr>
            <a:ln w="127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xVal>
            <c:numRef>
              <c:f>LL_Casagrande!$X$7:$X$8</c:f>
              <c:numCache>
                <c:formatCode>General</c:formatCod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xVal>
          <c:yVal>
            <c:numRef>
              <c:f>LL_Casagrande!$Y$7:$Y$8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20"/>
          <c:order val="20"/>
          <c:spPr>
            <a:ln w="127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xVal>
            <c:numRef>
              <c:f>LL_Casagrande!$X$9:$X$10</c:f>
              <c:numCache>
                <c:formatCode>General</c:formatCod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xVal>
          <c:yVal>
            <c:numRef>
              <c:f>LL_Casagrande!$Y$9:$Y$10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21"/>
          <c:order val="21"/>
          <c:spPr>
            <a:ln w="127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xVal>
            <c:numRef>
              <c:f>LL_Casagrande!$X$11:$X$12</c:f>
              <c:numCache>
                <c:formatCode>General</c:formatCod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xVal>
          <c:yVal>
            <c:numRef>
              <c:f>LL_Casagrande!$Y$11:$Y$12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22"/>
          <c:order val="22"/>
          <c:spPr>
            <a:ln w="127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xVal>
            <c:numRef>
              <c:f>LL_Casagrande!$X$13:$X$14</c:f>
              <c:numCache>
                <c:formatCode>General</c:formatCod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xVal>
          <c:yVal>
            <c:numRef>
              <c:f>LL_Casagrande!$Y$13:$Y$14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23"/>
          <c:order val="23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LL_Casagrande!$AA$7:$AA$8</c:f>
              <c:numCache>
                <c:formatCode>General</c:formatCod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xVal>
          <c:yVal>
            <c:numRef>
              <c:f>LL_Casagrande!$AB$7:$AB$8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24"/>
          <c:order val="24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LL_Casagrande!$AA$9:$AA$10</c:f>
              <c:numCache>
                <c:formatCode>General</c:formatCod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xVal>
          <c:yVal>
            <c:numRef>
              <c:f>LL_Casagrande!$AB$9:$AB$10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25"/>
          <c:order val="25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LL_Casagrande!$AA$11:$AA$12</c:f>
              <c:numCache>
                <c:formatCode>General</c:formatCod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xVal>
          <c:yVal>
            <c:numRef>
              <c:f>LL_Casagrande!$AB$11:$AB$12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26"/>
          <c:order val="26"/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LL_Casagrande!$AA$13:$AA$14</c:f>
              <c:numCache>
                <c:formatCode>General</c:formatCod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xVal>
          <c:yVal>
            <c:numRef>
              <c:f>LL_Casagrande!$AB$13:$AB$14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27"/>
          <c:order val="27"/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LL_Casagrande!$AA$15:$AA$16</c:f>
              <c:numCache>
                <c:formatCode>General</c:formatCod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xVal>
          <c:yVal>
            <c:numRef>
              <c:f>LL_Casagrande!$AB$15:$AB$16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28"/>
          <c:order val="28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LL_Casagrande!$AD$7:$AD$8</c:f>
              <c:numCache>
                <c:formatCode>General</c:formatCod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LL_Casagrande!$AE$7:$AE$8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29"/>
          <c:order val="29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LL_Casagrande!$AD$9:$AD$10</c:f>
              <c:numCache>
                <c:formatCode>General</c:formatCod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xVal>
          <c:yVal>
            <c:numRef>
              <c:f>LL_Casagrande!$AE$9:$AE$10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30"/>
          <c:order val="30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LL_Casagrande!$AD$11:$AD$12</c:f>
              <c:numCache>
                <c:formatCode>General</c:formatCod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xVal>
          <c:yVal>
            <c:numRef>
              <c:f>LL_Casagrande!$AE$11:$AE$12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31"/>
          <c:order val="31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LL_Casagrande!$AD$13:$AD$14</c:f>
              <c:numCache>
                <c:formatCode>General</c:formatCod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xVal>
          <c:yVal>
            <c:numRef>
              <c:f>LL_Casagrande!$AE$13:$AE$14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32"/>
          <c:order val="32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LL_Casagrande!$AG$7:$AG$8</c:f>
              <c:numCache>
                <c:formatCode>General</c:formatCod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xVal>
          <c:yVal>
            <c:numRef>
              <c:f>LL_Casagrande!$AH$7:$AH$8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33"/>
          <c:order val="33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LL_Casagrande!$AG$9:$AG$10</c:f>
              <c:numCache>
                <c:formatCode>General</c:formatCod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xVal>
          <c:yVal>
            <c:numRef>
              <c:f>LL_Casagrande!$AH$9:$AH$10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34"/>
          <c:order val="34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LL_Casagrande!$AG$11:$AG$12</c:f>
              <c:numCache>
                <c:formatCode>General</c:formatCod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xVal>
          <c:yVal>
            <c:numRef>
              <c:f>LL_Casagrande!$AH$11:$AH$12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35"/>
          <c:order val="35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LL_Casagrande!$AG$13:$AG$14</c:f>
              <c:numCache>
                <c:formatCode>General</c:formatCod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xVal>
          <c:yVal>
            <c:numRef>
              <c:f>LL_Casagrande!$AH$13:$AH$14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36"/>
          <c:order val="36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LL_Casagrande!$AG$15:$AG$16</c:f>
              <c:numCache>
                <c:formatCode>General</c:formatCod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xVal>
          <c:yVal>
            <c:numRef>
              <c:f>LL_Casagrande!$AH$15:$AH$16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37"/>
          <c:order val="37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LL_Casagrande!$AJ$7:$AJ$8</c:f>
              <c:numCache>
                <c:formatCode>General</c:formatCod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xVal>
          <c:yVal>
            <c:numRef>
              <c:f>LL_Casagrande!$AK$7:$AK$8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38"/>
          <c:order val="38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LL_Casagrande!$AJ$9:$AJ$10</c:f>
              <c:numCache>
                <c:formatCode>General</c:formatCod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xVal>
          <c:yVal>
            <c:numRef>
              <c:f>LL_Casagrande!$AK$9:$AK$10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39"/>
          <c:order val="39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LL_Casagrande!$AJ$11:$AJ$12</c:f>
              <c:numCache>
                <c:formatCode>General</c:formatCod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xVal>
          <c:yVal>
            <c:numRef>
              <c:f>LL_Casagrande!$AK$11:$AK$12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40"/>
          <c:order val="40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LL_Casagrande!$AJ$13:$AJ$14</c:f>
              <c:numCache>
                <c:formatCode>General</c:formatCod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xVal>
          <c:yVal>
            <c:numRef>
              <c:f>LL_Casagrande!$AK$13:$AK$14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axId val="79194368"/>
        <c:axId val="79200640"/>
      </c:scatterChart>
      <c:valAx>
        <c:axId val="79194368"/>
        <c:scaling>
          <c:logBase val="10"/>
          <c:orientation val="minMax"/>
          <c:max val="50"/>
          <c:min val="10"/>
        </c:scaling>
        <c:axPos val="b"/>
        <c:min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No. of blows, </a:t>
                </a:r>
                <a:r>
                  <a:rPr lang="en-US" sz="1200" b="0" i="1"/>
                  <a:t>N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9200640"/>
        <c:crosses val="autoZero"/>
        <c:crossBetween val="midCat"/>
      </c:valAx>
      <c:valAx>
        <c:axId val="79200640"/>
        <c:scaling>
          <c:orientation val="minMax"/>
          <c:max val="70"/>
        </c:scaling>
        <c:axPos val="l"/>
        <c:majorGridlines>
          <c:spPr>
            <a:ln w="12700">
              <a:solidFill>
                <a:prstClr val="black"/>
              </a:solidFill>
            </a:ln>
          </c:spPr>
        </c:majorGridlines>
        <c:min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Water content (%)</a:t>
                </a:r>
              </a:p>
            </c:rich>
          </c:tx>
          <c:layout>
            <c:manualLayout>
              <c:xMode val="edge"/>
              <c:yMode val="edge"/>
              <c:x val="1.9062335958005341E-2"/>
              <c:y val="0.2582047244094488"/>
            </c:manualLayout>
          </c:layout>
        </c:title>
        <c:numFmt formatCode="General" sourceLinked="1"/>
        <c:minorTickMark val="in"/>
        <c:tickLblPos val="none"/>
        <c:crossAx val="79194368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726618547681743"/>
          <c:y val="5.1400554097404488E-2"/>
          <c:w val="0.81810192475940502"/>
          <c:h val="0.756558398950131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LL_cone!$E$15:$H$15</c:f>
              <c:numCache>
                <c:formatCode>General</c:formatCode>
                <c:ptCount val="4"/>
                <c:pt idx="0">
                  <c:v>14.2</c:v>
                </c:pt>
                <c:pt idx="1">
                  <c:v>18.5</c:v>
                </c:pt>
                <c:pt idx="2">
                  <c:v>22.3</c:v>
                </c:pt>
                <c:pt idx="3">
                  <c:v>25.6</c:v>
                </c:pt>
              </c:numCache>
            </c:numRef>
          </c:xVal>
          <c:yVal>
            <c:numRef>
              <c:f>LL_cone!$E$14:$H$14</c:f>
              <c:numCache>
                <c:formatCode>0.00</c:formatCode>
                <c:ptCount val="4"/>
                <c:pt idx="0">
                  <c:v>56.367663344407525</c:v>
                </c:pt>
                <c:pt idx="1">
                  <c:v>57.884427032321263</c:v>
                </c:pt>
                <c:pt idx="2">
                  <c:v>59.703337453646441</c:v>
                </c:pt>
                <c:pt idx="3">
                  <c:v>61.248761149653127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LL_cone!$A$34:$A$35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LL_cone!$B$34:$B$35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ser>
          <c:idx val="2"/>
          <c:order val="2"/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LL_cone!$A$36:$A$37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LL_cone!$B$36:$B$37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ser>
          <c:idx val="3"/>
          <c:order val="3"/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LL_cone!$A$38:$A$39</c:f>
              <c:numCache>
                <c:formatCode>General</c:formatCod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xVal>
          <c:yVal>
            <c:numRef>
              <c:f>LL_cone!$B$38:$B$39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ser>
          <c:idx val="4"/>
          <c:order val="4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LL_cone!$A$40:$A$41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xVal>
          <c:yVal>
            <c:numRef>
              <c:f>LL_cone!$B$40:$B$41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ser>
          <c:idx val="5"/>
          <c:order val="5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LL_cone!$A$42:$A$43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LL_cone!$B$42:$B$43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ser>
          <c:idx val="6"/>
          <c:order val="6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LL_cone!$C$34:$C$35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LL_cone!$D$34:$D$35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ser>
          <c:idx val="7"/>
          <c:order val="7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LL_cone!$C$36:$C$37</c:f>
              <c:numCache>
                <c:formatCode>General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xVal>
          <c:yVal>
            <c:numRef>
              <c:f>LL_cone!$D$36:$D$37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ser>
          <c:idx val="8"/>
          <c:order val="8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LL_cone!$C$38:$C$39</c:f>
              <c:numCache>
                <c:formatCode>General</c:formatCod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xVal>
          <c:yVal>
            <c:numRef>
              <c:f>LL_cone!$D$38:$D$39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ser>
          <c:idx val="9"/>
          <c:order val="9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LL_cone!$C$40:$C$41</c:f>
              <c:numCache>
                <c:formatCode>General</c:formatCod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LL_cone!$D$40:$D$41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ser>
          <c:idx val="10"/>
          <c:order val="10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LL_cone!$E$34:$E$35</c:f>
              <c:numCache>
                <c:formatCode>General</c:formatCod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xVal>
          <c:yVal>
            <c:numRef>
              <c:f>LL_cone!$F$34:$F$35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ser>
          <c:idx val="11"/>
          <c:order val="11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LL_cone!$E$36:$E$37</c:f>
              <c:numCache>
                <c:formatCode>General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xVal>
          <c:yVal>
            <c:numRef>
              <c:f>LL_cone!$F$36:$F$37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ser>
          <c:idx val="12"/>
          <c:order val="12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LL_cone!$E$38:$E$39</c:f>
              <c:numCache>
                <c:formatCode>General</c:formatCod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xVal>
          <c:yVal>
            <c:numRef>
              <c:f>LL_cone!$F$38:$F$39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ser>
          <c:idx val="13"/>
          <c:order val="13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LL_cone!$E$40:$E$41</c:f>
              <c:numCache>
                <c:formatCode>General</c:formatCod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xVal>
          <c:yVal>
            <c:numRef>
              <c:f>LL_cone!$F$40:$F$41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ser>
          <c:idx val="14"/>
          <c:order val="14"/>
          <c:tx>
            <c:strRef>
              <c:f>LL_cone!$G$34:$G$35</c:f>
              <c:strCache>
                <c:ptCount val="1"/>
                <c:pt idx="0">
                  <c:v>26 26</c:v>
                </c:pt>
              </c:strCache>
            </c:strRef>
          </c:tx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LL_cone!$G$34:$G$35</c:f>
              <c:numCache>
                <c:formatCode>General</c:formatCod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xVal>
          <c:yVal>
            <c:numRef>
              <c:f>LL_cone!$H$34:$H$35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ser>
          <c:idx val="15"/>
          <c:order val="15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LL_cone!$G$36:$G$37</c:f>
              <c:numCache>
                <c:formatCode>General</c:formatCod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xVal>
          <c:yVal>
            <c:numRef>
              <c:f>LL_cone!$H$36:$H$37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ser>
          <c:idx val="16"/>
          <c:order val="16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LL_cone!$G$38:$G$39</c:f>
              <c:numCache>
                <c:formatCode>General</c:formatCod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xVal>
          <c:yVal>
            <c:numRef>
              <c:f>LL_cone!$H$39:$H$40</c:f>
              <c:numCache>
                <c:formatCode>General</c:formatCode>
                <c:ptCount val="2"/>
                <c:pt idx="0">
                  <c:v>62</c:v>
                </c:pt>
                <c:pt idx="1">
                  <c:v>54</c:v>
                </c:pt>
              </c:numCache>
            </c:numRef>
          </c:yVal>
        </c:ser>
        <c:ser>
          <c:idx val="17"/>
          <c:order val="17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LL_cone!$G$40:$G$41</c:f>
              <c:numCache>
                <c:formatCode>General</c:formatCod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xVal>
          <c:yVal>
            <c:numRef>
              <c:f>LL_cone!$H$40:$H$41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ser>
          <c:idx val="18"/>
          <c:order val="18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LL_cone!$E$42:$E$43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LL_cone!$F$42:$F$43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yVal>
        </c:ser>
        <c:axId val="79380480"/>
        <c:axId val="79382400"/>
      </c:scatterChart>
      <c:valAx>
        <c:axId val="79380480"/>
        <c:scaling>
          <c:logBase val="10"/>
          <c:orientation val="minMax"/>
          <c:max val="30"/>
          <c:min val="10"/>
        </c:scaling>
        <c:axPos val="b"/>
        <c:majorGridlines/>
        <c:minorGridlines>
          <c:spPr>
            <a:ln>
              <a:solidFill>
                <a:sysClr val="windowText" lastClr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Penetration (mm)</a:t>
                </a:r>
                <a:endParaRPr lang="en-US" sz="1200" b="0" i="1"/>
              </a:p>
            </c:rich>
          </c:tx>
          <c:layout>
            <c:manualLayout>
              <c:xMode val="edge"/>
              <c:yMode val="edge"/>
              <c:x val="0.46763294832048435"/>
              <c:y val="0.9149005884068413"/>
            </c:manualLayout>
          </c:layout>
        </c:title>
        <c:numFmt formatCode="General" sourceLinked="0"/>
        <c:minorTickMark val="in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79382400"/>
        <c:crosses val="autoZero"/>
        <c:crossBetween val="midCat"/>
        <c:majorUnit val="5"/>
        <c:minorUnit val="5"/>
      </c:valAx>
      <c:valAx>
        <c:axId val="79382400"/>
        <c:scaling>
          <c:orientation val="minMax"/>
          <c:max val="62"/>
          <c:min val="54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minorGridlines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Water content (%)</a:t>
                </a:r>
              </a:p>
            </c:rich>
          </c:tx>
        </c:title>
        <c:numFmt formatCode="0" sourceLinked="0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79380480"/>
        <c:crosses val="autoZero"/>
        <c:crossBetween val="midCat"/>
        <c:minorUnit val="0.2"/>
      </c:valAx>
    </c:plotArea>
    <c:plotVisOnly val="1"/>
  </c:chart>
  <c:spPr>
    <a:solidFill>
      <a:schemeClr val="bg1"/>
    </a:solidFill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129855643044621"/>
          <c:y val="5.0925925925925923E-2"/>
          <c:w val="0.84406955380577464"/>
          <c:h val="0.75240339749198015"/>
        </c:manualLayout>
      </c:layout>
      <c:scatterChart>
        <c:scatterStyle val="lineMarker"/>
        <c:ser>
          <c:idx val="1"/>
          <c:order val="0"/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LL_cone!$L$9:$L$10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LL_cone!$M$9:$M$10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2"/>
          <c:order val="1"/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LL_cone!$L$11:$L$12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LL_cone!$M$11:$M$12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4"/>
          <c:order val="2"/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LL_cone!$L$15:$L$16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LL_cone!$M$15:$M$16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0"/>
          <c:order val="3"/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LL_cone!$L$7:$L$8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LL_cone!$M$7:$M$8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5"/>
          <c:order val="4"/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LL_cone!$O$7:$O$8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LL_cone!$P$7:$P$8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6"/>
          <c:order val="5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LL_cone!$O$9:$O$10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LL_cone!$P$9:$P$10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7"/>
          <c:order val="6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LL_cone!$O$11:$O$12</c:f>
              <c:numCache>
                <c:formatCode>General</c:formatCod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xVal>
          <c:yVal>
            <c:numRef>
              <c:f>LL_cone!$P$11:$P$12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8"/>
          <c:order val="7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LL_cone!$O$13:$O$14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xVal>
          <c:yVal>
            <c:numRef>
              <c:f>LL_cone!$P$13:$P$14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9"/>
          <c:order val="8"/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LL_cone!$O$15:$O$16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LL_cone!$P$15:$P$16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0"/>
          <c:order val="9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LL_cone!$R$7:$R$8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LL_cone!$S$7:$S$8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1"/>
          <c:order val="10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LL_cone!$R$9:$R$10</c:f>
              <c:numCache>
                <c:formatCode>General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xVal>
          <c:yVal>
            <c:numRef>
              <c:f>LL_cone!$S$9:$S$10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2"/>
          <c:order val="11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LL_cone!$R$11:$R$12</c:f>
              <c:numCache>
                <c:formatCode>General</c:formatCod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xVal>
          <c:yVal>
            <c:numRef>
              <c:f>LL_cone!$S$11:$S$12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3"/>
          <c:order val="12"/>
          <c:spPr>
            <a:ln w="12700">
              <a:solidFill>
                <a:prstClr val="black">
                  <a:lumMod val="50000"/>
                  <a:lumOff val="50000"/>
                </a:prstClr>
              </a:solidFill>
            </a:ln>
          </c:spPr>
          <c:marker>
            <c:symbol val="none"/>
          </c:marker>
          <c:xVal>
            <c:numRef>
              <c:f>LL_cone!$R$13:$R$14</c:f>
              <c:numCache>
                <c:formatCode>General</c:formatCod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LL_cone!$S$13:$S$14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4"/>
          <c:order val="13"/>
          <c:spPr>
            <a:ln w="127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xVal>
            <c:numRef>
              <c:f>LL_cone!$U$7:$U$8</c:f>
              <c:numCache>
                <c:formatCode>General</c:formatCod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xVal>
          <c:yVal>
            <c:numRef>
              <c:f>LL_cone!$V$7:$V$8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5"/>
          <c:order val="14"/>
          <c:spPr>
            <a:ln w="127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xVal>
            <c:numRef>
              <c:f>LL_cone!$U$9:$U$10</c:f>
              <c:numCache>
                <c:formatCode>General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xVal>
          <c:yVal>
            <c:numRef>
              <c:f>LL_cone!$V$9:$V$10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6"/>
          <c:order val="15"/>
          <c:spPr>
            <a:ln w="127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xVal>
            <c:numRef>
              <c:f>LL_cone!$U$11:$U$12</c:f>
              <c:numCache>
                <c:formatCode>General</c:formatCod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xVal>
          <c:yVal>
            <c:numRef>
              <c:f>LL_cone!$V$11:$V$12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7"/>
          <c:order val="16"/>
          <c:spPr>
            <a:ln w="127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xVal>
            <c:numRef>
              <c:f>LL_cone!$U$13:$U$14</c:f>
              <c:numCache>
                <c:formatCode>General</c:formatCod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xVal>
          <c:yVal>
            <c:numRef>
              <c:f>LL_cone!$V$13:$V$14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8"/>
          <c:order val="17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LL_cone!$U$15:$U$16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LL_cone!$V$15:$V$16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19"/>
          <c:order val="18"/>
          <c:spPr>
            <a:ln w="127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xVal>
            <c:numRef>
              <c:f>LL_cone!$X$7:$X$8</c:f>
              <c:numCache>
                <c:formatCode>General</c:formatCod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xVal>
          <c:yVal>
            <c:numRef>
              <c:f>LL_cone!$Y$7:$Y$8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20"/>
          <c:order val="19"/>
          <c:spPr>
            <a:ln w="127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xVal>
            <c:numRef>
              <c:f>LL_cone!$X$9:$X$10</c:f>
              <c:numCache>
                <c:formatCode>General</c:formatCod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xVal>
          <c:yVal>
            <c:numRef>
              <c:f>LL_cone!$Y$9:$Y$10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21"/>
          <c:order val="20"/>
          <c:spPr>
            <a:ln w="127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xVal>
            <c:numRef>
              <c:f>LL_cone!$X$11:$X$12</c:f>
              <c:numCache>
                <c:formatCode>General</c:formatCod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xVal>
          <c:yVal>
            <c:numRef>
              <c:f>LL_cone!$Y$11:$Y$12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ser>
          <c:idx val="22"/>
          <c:order val="21"/>
          <c:spPr>
            <a:ln w="127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xVal>
            <c:numRef>
              <c:f>LL_cone!$X$13:$X$14</c:f>
              <c:numCache>
                <c:formatCode>General</c:formatCod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xVal>
          <c:yVal>
            <c:numRef>
              <c:f>LL_cone!$Y$13:$Y$14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</c:ser>
        <c:axId val="79558528"/>
        <c:axId val="79441920"/>
      </c:scatterChart>
      <c:valAx>
        <c:axId val="79558528"/>
        <c:scaling>
          <c:logBase val="10"/>
          <c:orientation val="minMax"/>
          <c:max val="30"/>
          <c:min val="10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Penetration, mm</a:t>
                </a:r>
                <a:endParaRPr lang="en-US" sz="1200" b="0" i="1"/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9441920"/>
        <c:crosses val="autoZero"/>
        <c:crossBetween val="midCat"/>
      </c:valAx>
      <c:valAx>
        <c:axId val="79441920"/>
        <c:scaling>
          <c:orientation val="minMax"/>
          <c:max val="70"/>
        </c:scaling>
        <c:axPos val="l"/>
        <c:majorGridlines>
          <c:spPr>
            <a:ln w="12700">
              <a:solidFill>
                <a:prstClr val="black"/>
              </a:solidFill>
            </a:ln>
          </c:spPr>
        </c:majorGridlines>
        <c:min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Water content (%)</a:t>
                </a:r>
              </a:p>
            </c:rich>
          </c:tx>
          <c:layout>
            <c:manualLayout>
              <c:xMode val="edge"/>
              <c:yMode val="edge"/>
              <c:x val="1.9062335958005341E-2"/>
              <c:y val="0.2582047244094488"/>
            </c:manualLayout>
          </c:layout>
        </c:title>
        <c:numFmt formatCode="General" sourceLinked="1"/>
        <c:minorTickMark val="in"/>
        <c:tickLblPos val="none"/>
        <c:crossAx val="79558528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0000000000005" l="0.70000000000000062" r="0.70000000000000062" t="0.75000000000000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280796150481191"/>
          <c:y val="5.1400554097404488E-2"/>
          <c:w val="0.80256014873140102"/>
          <c:h val="0.72878062117235343"/>
        </c:manualLayout>
      </c:layout>
      <c:scatterChart>
        <c:scatterStyle val="lineMarker"/>
        <c:ser>
          <c:idx val="0"/>
          <c:order val="0"/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9"/>
          </c:marker>
          <c:xVal>
            <c:numRef>
              <c:f>Compaction!$E$22:$I$22</c:f>
              <c:numCache>
                <c:formatCode>0.00</c:formatCode>
                <c:ptCount val="5"/>
                <c:pt idx="0">
                  <c:v>13.152349076484441</c:v>
                </c:pt>
                <c:pt idx="1">
                  <c:v>15.050091074681253</c:v>
                </c:pt>
                <c:pt idx="2">
                  <c:v>17.258394511974952</c:v>
                </c:pt>
                <c:pt idx="3">
                  <c:v>19.532934131736514</c:v>
                </c:pt>
                <c:pt idx="4">
                  <c:v>21.454399357171543</c:v>
                </c:pt>
              </c:numCache>
            </c:numRef>
          </c:xVal>
          <c:yVal>
            <c:numRef>
              <c:f>Compaction!$E$24:$I$24</c:f>
              <c:numCache>
                <c:formatCode>0.00</c:formatCode>
                <c:ptCount val="5"/>
                <c:pt idx="0">
                  <c:v>1.6776525656551387</c:v>
                </c:pt>
                <c:pt idx="1">
                  <c:v>1.7522912902659171</c:v>
                </c:pt>
                <c:pt idx="2">
                  <c:v>1.7999602183322418</c:v>
                </c:pt>
                <c:pt idx="3">
                  <c:v>1.7492084377071477</c:v>
                </c:pt>
                <c:pt idx="4">
                  <c:v>1.6810222721594679</c:v>
                </c:pt>
              </c:numCache>
            </c:numRef>
          </c:yVal>
          <c:smooth val="1"/>
        </c:ser>
        <c:ser>
          <c:idx val="1"/>
          <c:order val="1"/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Compaction!$E$22:$I$22</c:f>
              <c:numCache>
                <c:formatCode>0.00</c:formatCode>
                <c:ptCount val="5"/>
                <c:pt idx="0">
                  <c:v>13.152349076484441</c:v>
                </c:pt>
                <c:pt idx="1">
                  <c:v>15.050091074681253</c:v>
                </c:pt>
                <c:pt idx="2">
                  <c:v>17.258394511974952</c:v>
                </c:pt>
                <c:pt idx="3">
                  <c:v>19.532934131736514</c:v>
                </c:pt>
                <c:pt idx="4">
                  <c:v>21.454399357171543</c:v>
                </c:pt>
              </c:numCache>
            </c:numRef>
          </c:xVal>
          <c:yVal>
            <c:numRef>
              <c:f>Compaction!$E$25:$I$25</c:f>
              <c:numCache>
                <c:formatCode>0.00</c:formatCode>
                <c:ptCount val="5"/>
                <c:pt idx="0">
                  <c:v>2.046386055192158</c:v>
                </c:pt>
                <c:pt idx="1">
                  <c:v>1.9698853078746712</c:v>
                </c:pt>
                <c:pt idx="2">
                  <c:v>1.8877655344768833</c:v>
                </c:pt>
                <c:pt idx="3">
                  <c:v>1.8100458317849626</c:v>
                </c:pt>
                <c:pt idx="4">
                  <c:v>1.7492093770393056</c:v>
                </c:pt>
              </c:numCache>
            </c:numRef>
          </c:yVal>
          <c:smooth val="1"/>
        </c:ser>
        <c:axId val="79623296"/>
        <c:axId val="79625216"/>
      </c:scatterChart>
      <c:valAx>
        <c:axId val="79623296"/>
        <c:scaling>
          <c:orientation val="minMax"/>
          <c:max val="22"/>
          <c:min val="12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Water content (%)</a:t>
                </a:r>
              </a:p>
            </c:rich>
          </c:tx>
          <c:layout>
            <c:manualLayout>
              <c:xMode val="edge"/>
              <c:yMode val="edge"/>
              <c:x val="0.42240748031496522"/>
              <c:y val="0.90439814814814812"/>
            </c:manualLayout>
          </c:layout>
        </c:title>
        <c:numFmt formatCode="0" sourceLinked="0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9625216"/>
        <c:crosses val="autoZero"/>
        <c:crossBetween val="midCat"/>
        <c:majorUnit val="2"/>
        <c:minorUnit val="0.5"/>
      </c:valAx>
      <c:valAx>
        <c:axId val="79625216"/>
        <c:scaling>
          <c:orientation val="minMax"/>
          <c:max val="1.8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Dry density Mg/m</a:t>
                </a:r>
                <a:r>
                  <a:rPr lang="en-US" sz="1200" b="0" baseline="30000"/>
                  <a:t>3</a:t>
                </a:r>
              </a:p>
            </c:rich>
          </c:tx>
        </c:title>
        <c:numFmt formatCode="0.00" sourceLinked="1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9623296"/>
        <c:crosses val="autoZero"/>
        <c:crossBetween val="midCat"/>
        <c:majorUnit val="0.05"/>
      </c:valAx>
    </c:plotArea>
    <c:plotVisOnly val="1"/>
  </c:chart>
  <c:spPr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b="0" i="0">
                <a:latin typeface="Arial" pitchFamily="34" charset="0"/>
                <a:cs typeface="Arial" pitchFamily="34" charset="0"/>
              </a:rPr>
              <a:t>time</a:t>
            </a:r>
            <a:r>
              <a:rPr lang="en-US" sz="1200" b="0">
                <a:latin typeface="Arial" pitchFamily="34" charset="0"/>
                <a:cs typeface="Arial" pitchFamily="34" charset="0"/>
              </a:rPr>
              <a:t> (min)</a:t>
            </a:r>
          </a:p>
        </c:rich>
      </c:tx>
      <c:layout>
        <c:manualLayout>
          <c:xMode val="edge"/>
          <c:yMode val="edge"/>
          <c:x val="0.45624844191773328"/>
          <c:y val="1.0723863608217163E-2"/>
        </c:manualLayout>
      </c:layout>
    </c:title>
    <c:plotArea>
      <c:layout>
        <c:manualLayout>
          <c:layoutTarget val="inner"/>
          <c:xMode val="edge"/>
          <c:yMode val="edge"/>
          <c:x val="0.15722210399375755"/>
          <c:y val="0.20760527400175185"/>
          <c:w val="0.76555133311039225"/>
          <c:h val="0.72031315810259944"/>
        </c:manualLayout>
      </c:layout>
      <c:scatterChart>
        <c:scatterStyle val="lineMarker"/>
        <c:ser>
          <c:idx val="0"/>
          <c:order val="0"/>
          <c:tx>
            <c:strRef>
              <c:f>Consol!$L$1</c:f>
              <c:strCache>
                <c:ptCount val="1"/>
                <c:pt idx="0">
                  <c:v>d (mm)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xVal>
            <c:numRef>
              <c:f>Consol!$K$2:$K$18</c:f>
              <c:numCache>
                <c:formatCode>0.00</c:formatCode>
                <c:ptCount val="17"/>
                <c:pt idx="0" formatCode="0.000">
                  <c:v>2.5000000000000001E-2</c:v>
                </c:pt>
                <c:pt idx="1">
                  <c:v>0.25</c:v>
                </c:pt>
                <c:pt idx="2" formatCode="0.0">
                  <c:v>0.5</c:v>
                </c:pt>
                <c:pt idx="3" formatCode="0">
                  <c:v>1</c:v>
                </c:pt>
                <c:pt idx="4" formatCode="0">
                  <c:v>2</c:v>
                </c:pt>
                <c:pt idx="5" formatCode="0">
                  <c:v>4</c:v>
                </c:pt>
                <c:pt idx="6" formatCode="0">
                  <c:v>8</c:v>
                </c:pt>
                <c:pt idx="7" formatCode="0">
                  <c:v>16</c:v>
                </c:pt>
                <c:pt idx="8" formatCode="0">
                  <c:v>32</c:v>
                </c:pt>
                <c:pt idx="9" formatCode="0">
                  <c:v>60</c:v>
                </c:pt>
                <c:pt idx="10" formatCode="0">
                  <c:v>141</c:v>
                </c:pt>
                <c:pt idx="11" formatCode="0">
                  <c:v>296</c:v>
                </c:pt>
                <c:pt idx="12" formatCode="0">
                  <c:v>429</c:v>
                </c:pt>
                <c:pt idx="13" formatCode="0">
                  <c:v>459</c:v>
                </c:pt>
                <c:pt idx="14" formatCode="0">
                  <c:v>680</c:v>
                </c:pt>
                <c:pt idx="15" formatCode="0">
                  <c:v>1445</c:v>
                </c:pt>
                <c:pt idx="16" formatCode="0">
                  <c:v>1583</c:v>
                </c:pt>
              </c:numCache>
            </c:numRef>
          </c:xVal>
          <c:yVal>
            <c:numRef>
              <c:f>Consol!$L$2:$L$18</c:f>
              <c:numCache>
                <c:formatCode>0.000</c:formatCode>
                <c:ptCount val="17"/>
                <c:pt idx="0">
                  <c:v>3.6760000000000002</c:v>
                </c:pt>
                <c:pt idx="1">
                  <c:v>3.69</c:v>
                </c:pt>
                <c:pt idx="2">
                  <c:v>3.718</c:v>
                </c:pt>
                <c:pt idx="3">
                  <c:v>3.7559999999999998</c:v>
                </c:pt>
                <c:pt idx="4">
                  <c:v>3.806</c:v>
                </c:pt>
                <c:pt idx="5">
                  <c:v>3.8839999999999999</c:v>
                </c:pt>
                <c:pt idx="6">
                  <c:v>3.9830000000000001</c:v>
                </c:pt>
                <c:pt idx="7">
                  <c:v>4.13</c:v>
                </c:pt>
                <c:pt idx="8">
                  <c:v>4.33</c:v>
                </c:pt>
                <c:pt idx="9">
                  <c:v>4.5620000000000003</c:v>
                </c:pt>
                <c:pt idx="10">
                  <c:v>4.8529999999999998</c:v>
                </c:pt>
                <c:pt idx="11">
                  <c:v>5.0270000000000001</c:v>
                </c:pt>
                <c:pt idx="12">
                  <c:v>5.0860000000000003</c:v>
                </c:pt>
                <c:pt idx="13">
                  <c:v>5.0949999999999998</c:v>
                </c:pt>
                <c:pt idx="14">
                  <c:v>5.141</c:v>
                </c:pt>
                <c:pt idx="15">
                  <c:v>5.2039999999999997</c:v>
                </c:pt>
                <c:pt idx="16">
                  <c:v>5.2119999999999997</c:v>
                </c:pt>
              </c:numCache>
            </c:numRef>
          </c:yVal>
          <c:smooth val="1"/>
        </c:ser>
        <c:axId val="77415552"/>
        <c:axId val="77417088"/>
      </c:scatterChart>
      <c:valAx>
        <c:axId val="77415552"/>
        <c:scaling>
          <c:logBase val="10"/>
          <c:orientation val="minMax"/>
        </c:scaling>
        <c:axPos val="t"/>
        <c:majorGridlines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50000"/>
                </a:schemeClr>
              </a:solidFill>
            </a:ln>
          </c:spPr>
        </c:minorGridlines>
        <c:numFmt formatCode="0.00" sourceLinked="0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77417088"/>
        <c:crosses val="autoZero"/>
        <c:crossBetween val="midCat"/>
      </c:valAx>
      <c:valAx>
        <c:axId val="77417088"/>
        <c:scaling>
          <c:orientation val="maxMin"/>
          <c:min val="3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1200" b="0">
                    <a:latin typeface="Arial" pitchFamily="34" charset="0"/>
                    <a:cs typeface="Arial" pitchFamily="34" charset="0"/>
                  </a:rPr>
                  <a:t>Dial reading (mm)</a:t>
                </a:r>
              </a:p>
            </c:rich>
          </c:tx>
          <c:layout>
            <c:manualLayout>
              <c:xMode val="edge"/>
              <c:yMode val="edge"/>
              <c:x val="1.3240912453510879E-2"/>
              <c:y val="0.36459644496884924"/>
            </c:manualLayout>
          </c:layout>
        </c:title>
        <c:numFmt formatCode="0.0" sourceLinked="0"/>
        <c:minorTickMark val="in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7415552"/>
        <c:crossesAt val="1.0000000000000005E-2"/>
        <c:crossBetween val="midCat"/>
      </c:valAx>
    </c:plotArea>
    <c:plotVisOnly val="1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633552055993041"/>
          <c:y val="0.20275432161137591"/>
          <c:w val="0.76903258967629051"/>
          <c:h val="0.74540495065757495"/>
        </c:manualLayout>
      </c:layout>
      <c:scatterChart>
        <c:scatterStyle val="lineMarker"/>
        <c:ser>
          <c:idx val="0"/>
          <c:order val="0"/>
          <c:spPr>
            <a:ln w="1905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xVal>
            <c:numRef>
              <c:f>Consol!$M$2:$M$18</c:f>
              <c:numCache>
                <c:formatCode>General</c:formatCode>
                <c:ptCount val="17"/>
                <c:pt idx="0">
                  <c:v>0.15811388300841897</c:v>
                </c:pt>
                <c:pt idx="1">
                  <c:v>0.5</c:v>
                </c:pt>
                <c:pt idx="2">
                  <c:v>0.70710678118654757</c:v>
                </c:pt>
                <c:pt idx="3">
                  <c:v>1</c:v>
                </c:pt>
                <c:pt idx="4">
                  <c:v>1.4142135623730951</c:v>
                </c:pt>
                <c:pt idx="5">
                  <c:v>2</c:v>
                </c:pt>
                <c:pt idx="6">
                  <c:v>2.8284271247461903</c:v>
                </c:pt>
                <c:pt idx="7">
                  <c:v>4</c:v>
                </c:pt>
                <c:pt idx="8">
                  <c:v>5.6568542494923806</c:v>
                </c:pt>
                <c:pt idx="9">
                  <c:v>7.745966692414834</c:v>
                </c:pt>
                <c:pt idx="10">
                  <c:v>11.874342087037917</c:v>
                </c:pt>
                <c:pt idx="11">
                  <c:v>17.204650534085253</c:v>
                </c:pt>
                <c:pt idx="12">
                  <c:v>20.71231517720798</c:v>
                </c:pt>
                <c:pt idx="13">
                  <c:v>21.42428528562855</c:v>
                </c:pt>
                <c:pt idx="14">
                  <c:v>26.076809620810597</c:v>
                </c:pt>
                <c:pt idx="15">
                  <c:v>38.013155617496423</c:v>
                </c:pt>
                <c:pt idx="16">
                  <c:v>39.786932528155525</c:v>
                </c:pt>
              </c:numCache>
            </c:numRef>
          </c:xVal>
          <c:yVal>
            <c:numRef>
              <c:f>Consol!$L$2:$L$18</c:f>
              <c:numCache>
                <c:formatCode>0.000</c:formatCode>
                <c:ptCount val="17"/>
                <c:pt idx="0">
                  <c:v>3.6760000000000002</c:v>
                </c:pt>
                <c:pt idx="1">
                  <c:v>3.69</c:v>
                </c:pt>
                <c:pt idx="2">
                  <c:v>3.718</c:v>
                </c:pt>
                <c:pt idx="3">
                  <c:v>3.7559999999999998</c:v>
                </c:pt>
                <c:pt idx="4">
                  <c:v>3.806</c:v>
                </c:pt>
                <c:pt idx="5">
                  <c:v>3.8839999999999999</c:v>
                </c:pt>
                <c:pt idx="6">
                  <c:v>3.9830000000000001</c:v>
                </c:pt>
                <c:pt idx="7">
                  <c:v>4.13</c:v>
                </c:pt>
                <c:pt idx="8">
                  <c:v>4.33</c:v>
                </c:pt>
                <c:pt idx="9">
                  <c:v>4.5620000000000003</c:v>
                </c:pt>
                <c:pt idx="10">
                  <c:v>4.8529999999999998</c:v>
                </c:pt>
                <c:pt idx="11">
                  <c:v>5.0270000000000001</c:v>
                </c:pt>
                <c:pt idx="12">
                  <c:v>5.0860000000000003</c:v>
                </c:pt>
                <c:pt idx="13">
                  <c:v>5.0949999999999998</c:v>
                </c:pt>
                <c:pt idx="14">
                  <c:v>5.141</c:v>
                </c:pt>
                <c:pt idx="15">
                  <c:v>5.2039999999999997</c:v>
                </c:pt>
                <c:pt idx="16">
                  <c:v>5.2119999999999997</c:v>
                </c:pt>
              </c:numCache>
            </c:numRef>
          </c:yVal>
          <c:smooth val="1"/>
        </c:ser>
        <c:axId val="77928320"/>
        <c:axId val="77922688"/>
      </c:scatterChart>
      <c:valAx>
        <c:axId val="77928320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>
                    <a:latin typeface="Arial" pitchFamily="34" charset="0"/>
                    <a:cs typeface="Arial" pitchFamily="34" charset="0"/>
                  </a:rPr>
                  <a:t>time</a:t>
                </a:r>
                <a:r>
                  <a:rPr lang="en-US" sz="1200" b="0" baseline="30000">
                    <a:latin typeface="Arial" pitchFamily="34" charset="0"/>
                    <a:cs typeface="Arial" pitchFamily="34" charset="0"/>
                  </a:rPr>
                  <a:t> 0.5</a:t>
                </a:r>
                <a:r>
                  <a:rPr lang="en-US" sz="1200" b="0">
                    <a:latin typeface="Arial" pitchFamily="34" charset="0"/>
                    <a:cs typeface="Arial" pitchFamily="34" charset="0"/>
                  </a:rPr>
                  <a:t> (min</a:t>
                </a:r>
                <a:r>
                  <a:rPr lang="en-US" sz="1200" b="0" baseline="30000">
                    <a:latin typeface="Arial" pitchFamily="34" charset="0"/>
                    <a:cs typeface="Arial" pitchFamily="34" charset="0"/>
                  </a:rPr>
                  <a:t>0.5</a:t>
                </a:r>
                <a:r>
                  <a:rPr lang="en-US" sz="1200" b="0">
                    <a:latin typeface="Arial" pitchFamily="34" charset="0"/>
                    <a:cs typeface="Arial" pitchFamily="34" charset="0"/>
                  </a:rPr>
                  <a:t>)</a:t>
                </a:r>
              </a:p>
            </c:rich>
          </c:tx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7922688"/>
        <c:crosses val="autoZero"/>
        <c:crossBetween val="midCat"/>
      </c:valAx>
      <c:valAx>
        <c:axId val="77922688"/>
        <c:scaling>
          <c:orientation val="maxMin"/>
          <c:max val="5.5"/>
          <c:min val="3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1200" b="0">
                    <a:latin typeface="Arial" pitchFamily="34" charset="0"/>
                    <a:cs typeface="Arial" pitchFamily="34" charset="0"/>
                  </a:rPr>
                  <a:t>Dial gage reading (mm)</a:t>
                </a:r>
              </a:p>
            </c:rich>
          </c:tx>
        </c:title>
        <c:numFmt formatCode="0.0" sourceLinked="0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7928320"/>
        <c:crosses val="autoZero"/>
        <c:crossBetween val="midCat"/>
        <c:majorUnit val="0.5"/>
        <c:minorUnit val="0.1"/>
      </c:valAx>
    </c:plotArea>
    <c:plotVisOnly val="1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981833963668012"/>
          <c:y val="4.3539292882507331E-2"/>
          <c:w val="0.68183313699960735"/>
          <c:h val="0.77810436930677784"/>
        </c:manualLayout>
      </c:layout>
      <c:scatterChart>
        <c:scatterStyle val="lineMarker"/>
        <c:ser>
          <c:idx val="0"/>
          <c:order val="0"/>
          <c:tx>
            <c:v>Shear stress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DirShear!$B$13:$B$39</c:f>
              <c:numCache>
                <c:formatCode>0.00</c:formatCode>
                <c:ptCount val="27"/>
                <c:pt idx="0">
                  <c:v>0</c:v>
                </c:pt>
                <c:pt idx="1">
                  <c:v>5.0799999999999998E-2</c:v>
                </c:pt>
                <c:pt idx="2">
                  <c:v>0.22859999999999997</c:v>
                </c:pt>
                <c:pt idx="3">
                  <c:v>0.48259999999999997</c:v>
                </c:pt>
                <c:pt idx="4">
                  <c:v>0.73660000000000003</c:v>
                </c:pt>
                <c:pt idx="5">
                  <c:v>1.016</c:v>
                </c:pt>
                <c:pt idx="6">
                  <c:v>1.397</c:v>
                </c:pt>
                <c:pt idx="7">
                  <c:v>1.8541999999999998</c:v>
                </c:pt>
                <c:pt idx="8">
                  <c:v>2.2859999999999996</c:v>
                </c:pt>
                <c:pt idx="9">
                  <c:v>3.0479999999999996</c:v>
                </c:pt>
                <c:pt idx="10">
                  <c:v>3.556</c:v>
                </c:pt>
                <c:pt idx="11">
                  <c:v>4.0640000000000001</c:v>
                </c:pt>
                <c:pt idx="12">
                  <c:v>4.5719999999999992</c:v>
                </c:pt>
                <c:pt idx="13">
                  <c:v>5.08</c:v>
                </c:pt>
                <c:pt idx="14">
                  <c:v>5.5880000000000001</c:v>
                </c:pt>
                <c:pt idx="15">
                  <c:v>6.0959999999999992</c:v>
                </c:pt>
                <c:pt idx="16">
                  <c:v>6.6040000000000001</c:v>
                </c:pt>
                <c:pt idx="17">
                  <c:v>7.1120000000000001</c:v>
                </c:pt>
                <c:pt idx="18">
                  <c:v>7.6199999999999992</c:v>
                </c:pt>
                <c:pt idx="19">
                  <c:v>8.1280000000000001</c:v>
                </c:pt>
                <c:pt idx="20">
                  <c:v>8.636000000000001</c:v>
                </c:pt>
                <c:pt idx="21">
                  <c:v>9.1439999999999984</c:v>
                </c:pt>
                <c:pt idx="22">
                  <c:v>9.6519999999999992</c:v>
                </c:pt>
                <c:pt idx="23">
                  <c:v>10.16</c:v>
                </c:pt>
                <c:pt idx="24">
                  <c:v>10.667999999999999</c:v>
                </c:pt>
                <c:pt idx="25">
                  <c:v>11.176</c:v>
                </c:pt>
                <c:pt idx="26">
                  <c:v>11.683999999999999</c:v>
                </c:pt>
              </c:numCache>
            </c:numRef>
          </c:xVal>
          <c:yVal>
            <c:numRef>
              <c:f>DirShear!$E$13:$E$39</c:f>
              <c:numCache>
                <c:formatCode>0.0</c:formatCode>
                <c:ptCount val="27"/>
                <c:pt idx="0">
                  <c:v>0</c:v>
                </c:pt>
                <c:pt idx="1">
                  <c:v>72.804079608159213</c:v>
                </c:pt>
                <c:pt idx="2">
                  <c:v>164.00076880153759</c:v>
                </c:pt>
                <c:pt idx="3">
                  <c:v>233.739413478827</c:v>
                </c:pt>
                <c:pt idx="4">
                  <c:v>273.97324694649387</c:v>
                </c:pt>
                <c:pt idx="5">
                  <c:v>312.29118358236718</c:v>
                </c:pt>
                <c:pt idx="6">
                  <c:v>346.77732655465309</c:v>
                </c:pt>
                <c:pt idx="7">
                  <c:v>374.74942029884062</c:v>
                </c:pt>
                <c:pt idx="8">
                  <c:v>392.75885051770098</c:v>
                </c:pt>
                <c:pt idx="9">
                  <c:v>410.76828073656145</c:v>
                </c:pt>
                <c:pt idx="10">
                  <c:v>415.36643313286629</c:v>
                </c:pt>
                <c:pt idx="11">
                  <c:v>418.81504743009486</c:v>
                </c:pt>
                <c:pt idx="12">
                  <c:v>421.49730299460589</c:v>
                </c:pt>
                <c:pt idx="13">
                  <c:v>421.49730299460589</c:v>
                </c:pt>
                <c:pt idx="14">
                  <c:v>420.73094426188851</c:v>
                </c:pt>
                <c:pt idx="15">
                  <c:v>417.6655093310186</c:v>
                </c:pt>
                <c:pt idx="16">
                  <c:v>417.6655093310186</c:v>
                </c:pt>
                <c:pt idx="17">
                  <c:v>417.28232996465994</c:v>
                </c:pt>
                <c:pt idx="18">
                  <c:v>414.6000744001488</c:v>
                </c:pt>
                <c:pt idx="19">
                  <c:v>413.06735693471381</c:v>
                </c:pt>
                <c:pt idx="20">
                  <c:v>410.38510137020279</c:v>
                </c:pt>
                <c:pt idx="21">
                  <c:v>410.76828073656145</c:v>
                </c:pt>
                <c:pt idx="22">
                  <c:v>411.9178188356376</c:v>
                </c:pt>
                <c:pt idx="23">
                  <c:v>413.83371566743125</c:v>
                </c:pt>
                <c:pt idx="24">
                  <c:v>413.83371566743125</c:v>
                </c:pt>
                <c:pt idx="25">
                  <c:v>414.6000744001488</c:v>
                </c:pt>
                <c:pt idx="26">
                  <c:v>413.83371566743125</c:v>
                </c:pt>
              </c:numCache>
            </c:numRef>
          </c:yVal>
        </c:ser>
        <c:axId val="77760000"/>
        <c:axId val="77762560"/>
      </c:scatterChart>
      <c:scatterChart>
        <c:scatterStyle val="lineMarker"/>
        <c:ser>
          <c:idx val="1"/>
          <c:order val="1"/>
          <c:tx>
            <c:v>Vert. displacement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DirShear!$B$13:$B$39</c:f>
              <c:numCache>
                <c:formatCode>0.00</c:formatCode>
                <c:ptCount val="27"/>
                <c:pt idx="0">
                  <c:v>0</c:v>
                </c:pt>
                <c:pt idx="1">
                  <c:v>5.0799999999999998E-2</c:v>
                </c:pt>
                <c:pt idx="2">
                  <c:v>0.22859999999999997</c:v>
                </c:pt>
                <c:pt idx="3">
                  <c:v>0.48259999999999997</c:v>
                </c:pt>
                <c:pt idx="4">
                  <c:v>0.73660000000000003</c:v>
                </c:pt>
                <c:pt idx="5">
                  <c:v>1.016</c:v>
                </c:pt>
                <c:pt idx="6">
                  <c:v>1.397</c:v>
                </c:pt>
                <c:pt idx="7">
                  <c:v>1.8541999999999998</c:v>
                </c:pt>
                <c:pt idx="8">
                  <c:v>2.2859999999999996</c:v>
                </c:pt>
                <c:pt idx="9">
                  <c:v>3.0479999999999996</c:v>
                </c:pt>
                <c:pt idx="10">
                  <c:v>3.556</c:v>
                </c:pt>
                <c:pt idx="11">
                  <c:v>4.0640000000000001</c:v>
                </c:pt>
                <c:pt idx="12">
                  <c:v>4.5719999999999992</c:v>
                </c:pt>
                <c:pt idx="13">
                  <c:v>5.08</c:v>
                </c:pt>
                <c:pt idx="14">
                  <c:v>5.5880000000000001</c:v>
                </c:pt>
                <c:pt idx="15">
                  <c:v>6.0959999999999992</c:v>
                </c:pt>
                <c:pt idx="16">
                  <c:v>6.6040000000000001</c:v>
                </c:pt>
                <c:pt idx="17">
                  <c:v>7.1120000000000001</c:v>
                </c:pt>
                <c:pt idx="18">
                  <c:v>7.6199999999999992</c:v>
                </c:pt>
                <c:pt idx="19">
                  <c:v>8.1280000000000001</c:v>
                </c:pt>
                <c:pt idx="20">
                  <c:v>8.636000000000001</c:v>
                </c:pt>
                <c:pt idx="21">
                  <c:v>9.1439999999999984</c:v>
                </c:pt>
                <c:pt idx="22">
                  <c:v>9.6519999999999992</c:v>
                </c:pt>
                <c:pt idx="23">
                  <c:v>10.16</c:v>
                </c:pt>
                <c:pt idx="24">
                  <c:v>10.667999999999999</c:v>
                </c:pt>
                <c:pt idx="25">
                  <c:v>11.176</c:v>
                </c:pt>
                <c:pt idx="26">
                  <c:v>11.683999999999999</c:v>
                </c:pt>
              </c:numCache>
            </c:numRef>
          </c:xVal>
          <c:yVal>
            <c:numRef>
              <c:f>DirShear!$C$13:$C$39</c:f>
              <c:numCache>
                <c:formatCode>0.000</c:formatCode>
                <c:ptCount val="27"/>
                <c:pt idx="0">
                  <c:v>0</c:v>
                </c:pt>
                <c:pt idx="1">
                  <c:v>-1.5239999999999998E-2</c:v>
                </c:pt>
                <c:pt idx="2">
                  <c:v>-5.0799999999999998E-2</c:v>
                </c:pt>
                <c:pt idx="3">
                  <c:v>-8.1280000000000005E-2</c:v>
                </c:pt>
                <c:pt idx="4">
                  <c:v>-8.6359999999999992E-2</c:v>
                </c:pt>
                <c:pt idx="5">
                  <c:v>-0.11683999999999999</c:v>
                </c:pt>
                <c:pt idx="6">
                  <c:v>-0.11938</c:v>
                </c:pt>
                <c:pt idx="7">
                  <c:v>-0.11683999999999999</c:v>
                </c:pt>
                <c:pt idx="8">
                  <c:v>-0.10667999999999998</c:v>
                </c:pt>
                <c:pt idx="9">
                  <c:v>-6.6039999999999988E-2</c:v>
                </c:pt>
                <c:pt idx="10">
                  <c:v>-5.3339999999999992E-2</c:v>
                </c:pt>
                <c:pt idx="11">
                  <c:v>-4.0640000000000003E-2</c:v>
                </c:pt>
                <c:pt idx="12">
                  <c:v>-3.0479999999999997E-2</c:v>
                </c:pt>
                <c:pt idx="13">
                  <c:v>-2.0320000000000001E-2</c:v>
                </c:pt>
                <c:pt idx="14">
                  <c:v>-1.5239999999999998E-2</c:v>
                </c:pt>
                <c:pt idx="15">
                  <c:v>-1.2699999999999999E-2</c:v>
                </c:pt>
                <c:pt idx="16">
                  <c:v>-1.2699999999999999E-2</c:v>
                </c:pt>
                <c:pt idx="17">
                  <c:v>-1.2699999999999999E-2</c:v>
                </c:pt>
                <c:pt idx="18">
                  <c:v>-1.2699999999999999E-2</c:v>
                </c:pt>
                <c:pt idx="19">
                  <c:v>-1.2699999999999999E-2</c:v>
                </c:pt>
                <c:pt idx="20">
                  <c:v>-1.2699999999999999E-2</c:v>
                </c:pt>
                <c:pt idx="21">
                  <c:v>-1.5239999999999998E-2</c:v>
                </c:pt>
                <c:pt idx="22">
                  <c:v>-1.7779999999999997E-2</c:v>
                </c:pt>
                <c:pt idx="23">
                  <c:v>-2.2859999999999998E-2</c:v>
                </c:pt>
                <c:pt idx="24">
                  <c:v>-2.5399999999999999E-2</c:v>
                </c:pt>
                <c:pt idx="25">
                  <c:v>-3.0479999999999997E-2</c:v>
                </c:pt>
                <c:pt idx="26">
                  <c:v>-3.0479999999999997E-2</c:v>
                </c:pt>
              </c:numCache>
            </c:numRef>
          </c:yVal>
        </c:ser>
        <c:axId val="77783040"/>
        <c:axId val="77764480"/>
      </c:scatterChart>
      <c:valAx>
        <c:axId val="77760000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Hor. Displacement </a:t>
                </a:r>
                <a:r>
                  <a:rPr lang="en-US" sz="1200" b="0" i="1">
                    <a:sym typeface="Symbol"/>
                  </a:rPr>
                  <a:t></a:t>
                </a:r>
                <a:r>
                  <a:rPr lang="en-US" sz="1200" b="0" i="1" baseline="-25000"/>
                  <a:t>h</a:t>
                </a:r>
                <a:r>
                  <a:rPr lang="en-US" sz="1200" b="0"/>
                  <a:t> (mm)</a:t>
                </a:r>
              </a:p>
            </c:rich>
          </c:tx>
          <c:layout>
            <c:manualLayout>
              <c:xMode val="edge"/>
              <c:yMode val="edge"/>
              <c:x val="0.31093826854320522"/>
              <c:y val="0.90474509803921765"/>
            </c:manualLayout>
          </c:layout>
        </c:title>
        <c:numFmt formatCode="0" sourceLinked="0"/>
        <c:minorTickMark val="in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7762560"/>
        <c:crosses val="autoZero"/>
        <c:crossBetween val="midCat"/>
        <c:majorUnit val="2"/>
        <c:minorUnit val="0.5"/>
      </c:valAx>
      <c:valAx>
        <c:axId val="77762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Shear stress </a:t>
                </a:r>
                <a:r>
                  <a:rPr lang="en-US" sz="1200" b="0" i="1">
                    <a:sym typeface="Symbol"/>
                  </a:rPr>
                  <a:t></a:t>
                </a:r>
                <a:r>
                  <a:rPr lang="en-US" sz="1200" b="0"/>
                  <a:t> (kPa)</a:t>
                </a:r>
              </a:p>
            </c:rich>
          </c:tx>
          <c:layout/>
        </c:title>
        <c:numFmt formatCode="0" sourceLinked="0"/>
        <c:minorTickMark val="in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7760000"/>
        <c:crosses val="autoZero"/>
        <c:crossBetween val="midCat"/>
      </c:valAx>
      <c:valAx>
        <c:axId val="77764480"/>
        <c:scaling>
          <c:orientation val="minMax"/>
          <c:max val="4.0000000000000022E-2"/>
          <c:min val="-0.14000000000000001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Vertical displacement </a:t>
                </a:r>
                <a:r>
                  <a:rPr lang="en-US" sz="1200" b="0" i="1">
                    <a:sym typeface="Symbol"/>
                  </a:rPr>
                  <a:t></a:t>
                </a:r>
                <a:r>
                  <a:rPr lang="en-US" sz="1200" b="0" i="1" baseline="-25000"/>
                  <a:t>v</a:t>
                </a:r>
                <a:r>
                  <a:rPr lang="en-US" sz="1200" b="0"/>
                  <a:t> (mm)</a:t>
                </a:r>
              </a:p>
            </c:rich>
          </c:tx>
          <c:layout/>
        </c:title>
        <c:numFmt formatCode="0.00" sourceLinked="0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7783040"/>
        <c:crosses val="max"/>
        <c:crossBetween val="midCat"/>
      </c:valAx>
      <c:valAx>
        <c:axId val="77783040"/>
        <c:scaling>
          <c:orientation val="minMax"/>
        </c:scaling>
        <c:delete val="1"/>
        <c:axPos val="b"/>
        <c:numFmt formatCode="0.00" sourceLinked="1"/>
        <c:tickLblPos val="none"/>
        <c:crossAx val="77764480"/>
        <c:crosses val="autoZero"/>
        <c:crossBetween val="midCat"/>
      </c:valAx>
    </c:plotArea>
    <c:legend>
      <c:legendPos val="b"/>
      <c:legendEntry>
        <c:idx val="0"/>
        <c:txPr>
          <a:bodyPr/>
          <a:lstStyle/>
          <a:p>
            <a:pPr>
              <a:defRPr sz="11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/>
            </a:pPr>
            <a:endParaRPr lang="en-US"/>
          </a:p>
        </c:txPr>
      </c:legendEntry>
      <c:layout>
        <c:manualLayout>
          <c:xMode val="edge"/>
          <c:yMode val="edge"/>
          <c:x val="0.53320891975117279"/>
          <c:y val="0.60751798672224222"/>
          <c:w val="0.28003885341104018"/>
          <c:h val="0.17679573876794932"/>
        </c:manualLayout>
      </c:layout>
      <c:spPr>
        <a:solidFill>
          <a:schemeClr val="bg1"/>
        </a:solidFill>
      </c:spPr>
    </c:legend>
    <c:plotVisOnly val="1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301618547681647"/>
          <c:y val="4.1006536232832513E-2"/>
          <c:w val="0.81919903762030233"/>
          <c:h val="0.75777142815596865"/>
        </c:manualLayout>
      </c:layout>
      <c:scatterChart>
        <c:scatterStyle val="lineMarker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'CU-Triaxial'!$A$2:$A$3</c:f>
              <c:numCache>
                <c:formatCode>General</c:formatCode>
                <c:ptCount val="2"/>
                <c:pt idx="0">
                  <c:v>0</c:v>
                </c:pt>
                <c:pt idx="1">
                  <c:v>143</c:v>
                </c:pt>
              </c:numCache>
            </c:numRef>
          </c:xVal>
          <c:yVal>
            <c:numRef>
              <c:f>'CU-Triaxial'!$B$2:$B$3</c:f>
              <c:numCache>
                <c:formatCode>General</c:formatCode>
                <c:ptCount val="2"/>
                <c:pt idx="0">
                  <c:v>96.5</c:v>
                </c:pt>
                <c:pt idx="1">
                  <c:v>50</c:v>
                </c:pt>
              </c:numCache>
            </c:numRef>
          </c:yVal>
        </c:ser>
        <c:ser>
          <c:idx val="1"/>
          <c:order val="1"/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'CU-Triaxial'!$C$2:$C$3</c:f>
              <c:numCache>
                <c:formatCode>General</c:formatCode>
                <c:ptCount val="2"/>
                <c:pt idx="0">
                  <c:v>0</c:v>
                </c:pt>
                <c:pt idx="1">
                  <c:v>185</c:v>
                </c:pt>
              </c:numCache>
            </c:numRef>
          </c:xVal>
          <c:yVal>
            <c:numRef>
              <c:f>'CU-Triaxial'!$D$2:$D$3</c:f>
              <c:numCache>
                <c:formatCode>General</c:formatCode>
                <c:ptCount val="2"/>
                <c:pt idx="0">
                  <c:v>97.5</c:v>
                </c:pt>
                <c:pt idx="1">
                  <c:v>50</c:v>
                </c:pt>
              </c:numCache>
            </c:numRef>
          </c:yVal>
        </c:ser>
        <c:ser>
          <c:idx val="2"/>
          <c:order val="2"/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'CU-Triaxial'!$E$2:$E$3</c:f>
              <c:numCache>
                <c:formatCode>General</c:formatCode>
                <c:ptCount val="2"/>
                <c:pt idx="0">
                  <c:v>0</c:v>
                </c:pt>
                <c:pt idx="1">
                  <c:v>261</c:v>
                </c:pt>
              </c:numCache>
            </c:numRef>
          </c:xVal>
          <c:yVal>
            <c:numRef>
              <c:f>'CU-Triaxial'!$F$2:$F$3</c:f>
              <c:numCache>
                <c:formatCode>General</c:formatCode>
                <c:ptCount val="2"/>
                <c:pt idx="0">
                  <c:v>98.5</c:v>
                </c:pt>
                <c:pt idx="1">
                  <c:v>50</c:v>
                </c:pt>
              </c:numCache>
            </c:numRef>
          </c:yVal>
        </c:ser>
        <c:ser>
          <c:idx val="3"/>
          <c:order val="3"/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'CU-Triaxial'!$G$2:$G$3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'CU-Triaxial'!$H$2:$H$3</c:f>
              <c:numCache>
                <c:formatCode>General</c:formatCode>
                <c:ptCount val="2"/>
                <c:pt idx="0">
                  <c:v>100</c:v>
                </c:pt>
                <c:pt idx="1">
                  <c:v>62.5</c:v>
                </c:pt>
              </c:numCache>
            </c:numRef>
          </c:yVal>
        </c:ser>
        <c:axId val="78211712"/>
        <c:axId val="78185216"/>
      </c:scatterChart>
      <c:valAx>
        <c:axId val="78211712"/>
        <c:scaling>
          <c:orientation val="minMax"/>
          <c:max val="30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Required back pressure (kPa)</a:t>
                </a:r>
              </a:p>
            </c:rich>
          </c:tx>
          <c:layout/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8185216"/>
        <c:crosses val="autoZero"/>
        <c:crossBetween val="midCat"/>
        <c:majorUnit val="50"/>
        <c:minorUnit val="10"/>
      </c:valAx>
      <c:valAx>
        <c:axId val="78185216"/>
        <c:scaling>
          <c:orientation val="minMax"/>
          <c:max val="100"/>
          <c:min val="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Initial degree of saturation (%)</a:t>
                </a:r>
              </a:p>
            </c:rich>
          </c:tx>
          <c:layout>
            <c:manualLayout>
              <c:xMode val="edge"/>
              <c:yMode val="edge"/>
              <c:x val="1.1111111111111125E-2"/>
              <c:y val="0.13251437753106438"/>
            </c:manualLayout>
          </c:layout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8211712"/>
        <c:crosses val="autoZero"/>
        <c:crossBetween val="midCat"/>
        <c:majorUnit val="10"/>
        <c:minorUnit val="2"/>
      </c:valAx>
      <c:spPr>
        <a:noFill/>
        <a:ln w="25400">
          <a:noFill/>
        </a:ln>
      </c:spPr>
    </c:plotArea>
    <c:plotVisOnly val="1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02244094488189"/>
          <c:y val="7.9062773403324932E-2"/>
          <c:w val="0.80144225721784779"/>
          <c:h val="0.73620910443519694"/>
        </c:manualLayout>
      </c:layout>
      <c:scatterChart>
        <c:scatterStyle val="lineMarker"/>
        <c:ser>
          <c:idx val="0"/>
          <c:order val="0"/>
          <c:tx>
            <c:v>Pore water pressure</c:v>
          </c:tx>
          <c:spPr>
            <a:ln w="15875">
              <a:solidFill>
                <a:sysClr val="windowText" lastClr="000000"/>
              </a:solidFill>
            </a:ln>
          </c:spPr>
          <c:marker>
            <c:symbol val="triangle"/>
            <c:size val="7"/>
            <c:spPr>
              <a:noFill/>
            </c:spPr>
          </c:marker>
          <c:xVal>
            <c:numRef>
              <c:f>'CU-Triaxial'!$M$4:$M$42</c:f>
              <c:numCache>
                <c:formatCode>0.00</c:formatCode>
                <c:ptCount val="39"/>
                <c:pt idx="0">
                  <c:v>0</c:v>
                </c:pt>
                <c:pt idx="1">
                  <c:v>4.6875E-2</c:v>
                </c:pt>
                <c:pt idx="2">
                  <c:v>9.375E-2</c:v>
                </c:pt>
                <c:pt idx="3">
                  <c:v>0.34374999999999994</c:v>
                </c:pt>
                <c:pt idx="4">
                  <c:v>0.48437499999999994</c:v>
                </c:pt>
                <c:pt idx="5">
                  <c:v>1.1093749999999998</c:v>
                </c:pt>
                <c:pt idx="6">
                  <c:v>1.4374999999999998</c:v>
                </c:pt>
                <c:pt idx="7">
                  <c:v>1.9218749999999998</c:v>
                </c:pt>
                <c:pt idx="8">
                  <c:v>2.15625</c:v>
                </c:pt>
                <c:pt idx="9">
                  <c:v>2.3906249999999996</c:v>
                </c:pt>
                <c:pt idx="10">
                  <c:v>2.7187499999999996</c:v>
                </c:pt>
                <c:pt idx="11">
                  <c:v>3.03125</c:v>
                </c:pt>
                <c:pt idx="12">
                  <c:v>3.3593749999999996</c:v>
                </c:pt>
                <c:pt idx="13">
                  <c:v>3.6874999999999996</c:v>
                </c:pt>
                <c:pt idx="14">
                  <c:v>4.015625</c:v>
                </c:pt>
                <c:pt idx="15">
                  <c:v>4.34375</c:v>
                </c:pt>
                <c:pt idx="16">
                  <c:v>4.6718749999999991</c:v>
                </c:pt>
                <c:pt idx="17">
                  <c:v>5</c:v>
                </c:pt>
                <c:pt idx="18">
                  <c:v>5.3281250000000009</c:v>
                </c:pt>
                <c:pt idx="19">
                  <c:v>5.640625</c:v>
                </c:pt>
                <c:pt idx="20">
                  <c:v>5.96875</c:v>
                </c:pt>
                <c:pt idx="21">
                  <c:v>6.296875</c:v>
                </c:pt>
                <c:pt idx="22">
                  <c:v>6.6249999999999991</c:v>
                </c:pt>
                <c:pt idx="23">
                  <c:v>6.9375</c:v>
                </c:pt>
                <c:pt idx="24">
                  <c:v>7.2656249999999991</c:v>
                </c:pt>
                <c:pt idx="25">
                  <c:v>7.5937499999999991</c:v>
                </c:pt>
                <c:pt idx="26">
                  <c:v>7.921875</c:v>
                </c:pt>
                <c:pt idx="27">
                  <c:v>8.25</c:v>
                </c:pt>
                <c:pt idx="28">
                  <c:v>8.578125</c:v>
                </c:pt>
                <c:pt idx="29">
                  <c:v>8.9062499999999982</c:v>
                </c:pt>
                <c:pt idx="30">
                  <c:v>9.2343749999999982</c:v>
                </c:pt>
                <c:pt idx="31">
                  <c:v>9.890625</c:v>
                </c:pt>
                <c:pt idx="32">
                  <c:v>10.546875</c:v>
                </c:pt>
                <c:pt idx="33">
                  <c:v>11.187499999999998</c:v>
                </c:pt>
                <c:pt idx="34">
                  <c:v>11.84375</c:v>
                </c:pt>
                <c:pt idx="35">
                  <c:v>12.484374999999998</c:v>
                </c:pt>
                <c:pt idx="36">
                  <c:v>13.156249999999998</c:v>
                </c:pt>
                <c:pt idx="37">
                  <c:v>13.828125</c:v>
                </c:pt>
                <c:pt idx="38">
                  <c:v>15.78125</c:v>
                </c:pt>
              </c:numCache>
            </c:numRef>
          </c:xVal>
          <c:yVal>
            <c:numRef>
              <c:f>'CU-Triaxial'!$Q$4:$Q$42</c:f>
              <c:numCache>
                <c:formatCode>0.0</c:formatCode>
                <c:ptCount val="39"/>
                <c:pt idx="0">
                  <c:v>1.379</c:v>
                </c:pt>
                <c:pt idx="1">
                  <c:v>21.374499999999998</c:v>
                </c:pt>
                <c:pt idx="2">
                  <c:v>46.885999999999996</c:v>
                </c:pt>
                <c:pt idx="3">
                  <c:v>64.123500000000007</c:v>
                </c:pt>
                <c:pt idx="4">
                  <c:v>86.876999999999995</c:v>
                </c:pt>
                <c:pt idx="5">
                  <c:v>147.55299999999997</c:v>
                </c:pt>
                <c:pt idx="6">
                  <c:v>179.26999999999998</c:v>
                </c:pt>
                <c:pt idx="7">
                  <c:v>202.71299999999997</c:v>
                </c:pt>
                <c:pt idx="8">
                  <c:v>210.98699999999999</c:v>
                </c:pt>
                <c:pt idx="9">
                  <c:v>217.1925</c:v>
                </c:pt>
                <c:pt idx="10">
                  <c:v>224.08749999999998</c:v>
                </c:pt>
                <c:pt idx="11">
                  <c:v>227.535</c:v>
                </c:pt>
                <c:pt idx="12">
                  <c:v>240.63549999999998</c:v>
                </c:pt>
                <c:pt idx="13">
                  <c:v>244.08299999999997</c:v>
                </c:pt>
                <c:pt idx="14">
                  <c:v>250.97799999999998</c:v>
                </c:pt>
                <c:pt idx="15">
                  <c:v>254.42549999999997</c:v>
                </c:pt>
                <c:pt idx="16">
                  <c:v>256.49400000000003</c:v>
                </c:pt>
                <c:pt idx="17">
                  <c:v>264.07849999999996</c:v>
                </c:pt>
                <c:pt idx="18">
                  <c:v>259.94150000000002</c:v>
                </c:pt>
                <c:pt idx="19">
                  <c:v>264.07849999999996</c:v>
                </c:pt>
                <c:pt idx="20">
                  <c:v>266.8365</c:v>
                </c:pt>
                <c:pt idx="21">
                  <c:v>272.35249999999996</c:v>
                </c:pt>
                <c:pt idx="22">
                  <c:v>275.11049999999994</c:v>
                </c:pt>
                <c:pt idx="23">
                  <c:v>278.55799999999999</c:v>
                </c:pt>
                <c:pt idx="24">
                  <c:v>279.93700000000001</c:v>
                </c:pt>
                <c:pt idx="25">
                  <c:v>281.31599999999997</c:v>
                </c:pt>
                <c:pt idx="26">
                  <c:v>281.31599999999997</c:v>
                </c:pt>
                <c:pt idx="27">
                  <c:v>281.31599999999997</c:v>
                </c:pt>
                <c:pt idx="28">
                  <c:v>278.55799999999999</c:v>
                </c:pt>
                <c:pt idx="29">
                  <c:v>287.5215</c:v>
                </c:pt>
                <c:pt idx="30">
                  <c:v>288.90049999999997</c:v>
                </c:pt>
                <c:pt idx="31">
                  <c:v>290.96899999999999</c:v>
                </c:pt>
                <c:pt idx="32">
                  <c:v>290.96899999999999</c:v>
                </c:pt>
                <c:pt idx="33">
                  <c:v>290.96899999999999</c:v>
                </c:pt>
                <c:pt idx="34">
                  <c:v>297.17449999999997</c:v>
                </c:pt>
                <c:pt idx="35">
                  <c:v>306.82749999999999</c:v>
                </c:pt>
                <c:pt idx="36">
                  <c:v>320.61750000000001</c:v>
                </c:pt>
                <c:pt idx="37">
                  <c:v>317.85949999999997</c:v>
                </c:pt>
                <c:pt idx="38">
                  <c:v>310.96449999999999</c:v>
                </c:pt>
              </c:numCache>
            </c:numRef>
          </c:yVal>
          <c:smooth val="1"/>
        </c:ser>
        <c:ser>
          <c:idx val="1"/>
          <c:order val="1"/>
          <c:tx>
            <c:v>Principal stress difference</c:v>
          </c:tx>
          <c:spPr>
            <a:ln w="15875">
              <a:solidFill>
                <a:sysClr val="windowText" lastClr="000000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'CU-Triaxial'!$M$4:$M$42</c:f>
              <c:numCache>
                <c:formatCode>0.00</c:formatCode>
                <c:ptCount val="39"/>
                <c:pt idx="0">
                  <c:v>0</c:v>
                </c:pt>
                <c:pt idx="1">
                  <c:v>4.6875E-2</c:v>
                </c:pt>
                <c:pt idx="2">
                  <c:v>9.375E-2</c:v>
                </c:pt>
                <c:pt idx="3">
                  <c:v>0.34374999999999994</c:v>
                </c:pt>
                <c:pt idx="4">
                  <c:v>0.48437499999999994</c:v>
                </c:pt>
                <c:pt idx="5">
                  <c:v>1.1093749999999998</c:v>
                </c:pt>
                <c:pt idx="6">
                  <c:v>1.4374999999999998</c:v>
                </c:pt>
                <c:pt idx="7">
                  <c:v>1.9218749999999998</c:v>
                </c:pt>
                <c:pt idx="8">
                  <c:v>2.15625</c:v>
                </c:pt>
                <c:pt idx="9">
                  <c:v>2.3906249999999996</c:v>
                </c:pt>
                <c:pt idx="10">
                  <c:v>2.7187499999999996</c:v>
                </c:pt>
                <c:pt idx="11">
                  <c:v>3.03125</c:v>
                </c:pt>
                <c:pt idx="12">
                  <c:v>3.3593749999999996</c:v>
                </c:pt>
                <c:pt idx="13">
                  <c:v>3.6874999999999996</c:v>
                </c:pt>
                <c:pt idx="14">
                  <c:v>4.015625</c:v>
                </c:pt>
                <c:pt idx="15">
                  <c:v>4.34375</c:v>
                </c:pt>
                <c:pt idx="16">
                  <c:v>4.6718749999999991</c:v>
                </c:pt>
                <c:pt idx="17">
                  <c:v>5</c:v>
                </c:pt>
                <c:pt idx="18">
                  <c:v>5.3281250000000009</c:v>
                </c:pt>
                <c:pt idx="19">
                  <c:v>5.640625</c:v>
                </c:pt>
                <c:pt idx="20">
                  <c:v>5.96875</c:v>
                </c:pt>
                <c:pt idx="21">
                  <c:v>6.296875</c:v>
                </c:pt>
                <c:pt idx="22">
                  <c:v>6.6249999999999991</c:v>
                </c:pt>
                <c:pt idx="23">
                  <c:v>6.9375</c:v>
                </c:pt>
                <c:pt idx="24">
                  <c:v>7.2656249999999991</c:v>
                </c:pt>
                <c:pt idx="25">
                  <c:v>7.5937499999999991</c:v>
                </c:pt>
                <c:pt idx="26">
                  <c:v>7.921875</c:v>
                </c:pt>
                <c:pt idx="27">
                  <c:v>8.25</c:v>
                </c:pt>
                <c:pt idx="28">
                  <c:v>8.578125</c:v>
                </c:pt>
                <c:pt idx="29">
                  <c:v>8.9062499999999982</c:v>
                </c:pt>
                <c:pt idx="30">
                  <c:v>9.2343749999999982</c:v>
                </c:pt>
                <c:pt idx="31">
                  <c:v>9.890625</c:v>
                </c:pt>
                <c:pt idx="32">
                  <c:v>10.546875</c:v>
                </c:pt>
                <c:pt idx="33">
                  <c:v>11.187499999999998</c:v>
                </c:pt>
                <c:pt idx="34">
                  <c:v>11.84375</c:v>
                </c:pt>
                <c:pt idx="35">
                  <c:v>12.484374999999998</c:v>
                </c:pt>
                <c:pt idx="36">
                  <c:v>13.156249999999998</c:v>
                </c:pt>
                <c:pt idx="37">
                  <c:v>13.828125</c:v>
                </c:pt>
                <c:pt idx="38">
                  <c:v>15.78125</c:v>
                </c:pt>
              </c:numCache>
            </c:numRef>
          </c:xVal>
          <c:yVal>
            <c:numRef>
              <c:f>'CU-Triaxial'!$P$4:$P$42</c:f>
              <c:numCache>
                <c:formatCode>General</c:formatCode>
                <c:ptCount val="39"/>
                <c:pt idx="0">
                  <c:v>0</c:v>
                </c:pt>
                <c:pt idx="1">
                  <c:v>121.83264209232237</c:v>
                </c:pt>
                <c:pt idx="2">
                  <c:v>159.35329025395757</c:v>
                </c:pt>
                <c:pt idx="3">
                  <c:v>205.57494897179834</c:v>
                </c:pt>
                <c:pt idx="4">
                  <c:v>217.09897659266483</c:v>
                </c:pt>
                <c:pt idx="5">
                  <c:v>243.51609923616195</c:v>
                </c:pt>
                <c:pt idx="6">
                  <c:v>247.68969647336104</c:v>
                </c:pt>
                <c:pt idx="7">
                  <c:v>250.04618687775351</c:v>
                </c:pt>
                <c:pt idx="8">
                  <c:v>250.71372661953663</c:v>
                </c:pt>
                <c:pt idx="9">
                  <c:v>251.37520566539467</c:v>
                </c:pt>
                <c:pt idx="10">
                  <c:v>250.53017936173322</c:v>
                </c:pt>
                <c:pt idx="11">
                  <c:v>249.38345896122001</c:v>
                </c:pt>
                <c:pt idx="12">
                  <c:v>247.85803689411608</c:v>
                </c:pt>
                <c:pt idx="13">
                  <c:v>246.45044944839171</c:v>
                </c:pt>
                <c:pt idx="14">
                  <c:v>243.80569030690876</c:v>
                </c:pt>
                <c:pt idx="15">
                  <c:v>242.07275368447966</c:v>
                </c:pt>
                <c:pt idx="16">
                  <c:v>240.45803736407979</c:v>
                </c:pt>
                <c:pt idx="17">
                  <c:v>238.51372937982759</c:v>
                </c:pt>
                <c:pt idx="18">
                  <c:v>235.90946670657127</c:v>
                </c:pt>
                <c:pt idx="19">
                  <c:v>234.02165175463881</c:v>
                </c:pt>
                <c:pt idx="20">
                  <c:v>229.6710638306825</c:v>
                </c:pt>
                <c:pt idx="21">
                  <c:v>228.09864382154154</c:v>
                </c:pt>
                <c:pt idx="22">
                  <c:v>225.87310118062101</c:v>
                </c:pt>
                <c:pt idx="23">
                  <c:v>224.35146245703396</c:v>
                </c:pt>
                <c:pt idx="24">
                  <c:v>222.47042446509047</c:v>
                </c:pt>
                <c:pt idx="25">
                  <c:v>221.03156015524371</c:v>
                </c:pt>
                <c:pt idx="26">
                  <c:v>218.40680131031354</c:v>
                </c:pt>
                <c:pt idx="27">
                  <c:v>216.76574851125747</c:v>
                </c:pt>
                <c:pt idx="28">
                  <c:v>215.45324052857578</c:v>
                </c:pt>
                <c:pt idx="29">
                  <c:v>213.93044476303942</c:v>
                </c:pt>
                <c:pt idx="30">
                  <c:v>212.09298868452075</c:v>
                </c:pt>
                <c:pt idx="31">
                  <c:v>208.97079363010431</c:v>
                </c:pt>
                <c:pt idx="32">
                  <c:v>204.29458104326477</c:v>
                </c:pt>
                <c:pt idx="33">
                  <c:v>198.34270215866988</c:v>
                </c:pt>
                <c:pt idx="34">
                  <c:v>188.58755292364273</c:v>
                </c:pt>
                <c:pt idx="35">
                  <c:v>177.65051288599173</c:v>
                </c:pt>
                <c:pt idx="36">
                  <c:v>163.52705278286373</c:v>
                </c:pt>
                <c:pt idx="37">
                  <c:v>160.64131669825102</c:v>
                </c:pt>
                <c:pt idx="38">
                  <c:v>153.93157533684428</c:v>
                </c:pt>
              </c:numCache>
            </c:numRef>
          </c:yVal>
          <c:smooth val="1"/>
        </c:ser>
        <c:axId val="78224000"/>
        <c:axId val="78264960"/>
      </c:scatterChart>
      <c:valAx>
        <c:axId val="7822400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Axial strain (%)</a:t>
                </a:r>
              </a:p>
            </c:rich>
          </c:tx>
          <c:layout>
            <c:manualLayout>
              <c:xMode val="edge"/>
              <c:yMode val="edge"/>
              <c:x val="0.45508442694663181"/>
              <c:y val="0.90806794055201656"/>
            </c:manualLayout>
          </c:layout>
        </c:title>
        <c:numFmt formatCode="0" sourceLinked="0"/>
        <c:minorTickMark val="in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8264960"/>
        <c:crosses val="autoZero"/>
        <c:crossBetween val="midCat"/>
      </c:valAx>
      <c:valAx>
        <c:axId val="782649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Prin. Stress diff/Pore pressure (kPa)</a:t>
                </a:r>
              </a:p>
            </c:rich>
          </c:tx>
          <c:layout>
            <c:manualLayout>
              <c:xMode val="edge"/>
              <c:yMode val="edge"/>
              <c:x val="1.9291557305336913E-2"/>
              <c:y val="7.9062808231773848E-2"/>
            </c:manualLayout>
          </c:layout>
        </c:title>
        <c:numFmt formatCode="0" sourceLinked="0"/>
        <c:minorTickMark val="in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82240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7109864391951145"/>
          <c:y val="0.62744838423859783"/>
          <c:w val="0.46227777777777906"/>
          <c:h val="0.17550595984419223"/>
        </c:manualLayout>
      </c:layout>
      <c:spPr>
        <a:solidFill>
          <a:schemeClr val="bg1"/>
        </a:solidFill>
      </c:spPr>
    </c:legend>
    <c:plotVisOnly val="1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6133552055993"/>
          <c:y val="5.1400554097404488E-2"/>
          <c:w val="0.76940748031496053"/>
          <c:h val="0.7472991396908768"/>
        </c:manualLayout>
      </c:layout>
      <c:scatterChart>
        <c:scatterStyle val="lineMarker"/>
        <c:ser>
          <c:idx val="0"/>
          <c:order val="0"/>
          <c:spPr>
            <a:ln w="19050">
              <a:solidFill>
                <a:schemeClr val="tx1"/>
              </a:solidFill>
            </a:ln>
          </c:spPr>
          <c:xVal>
            <c:numRef>
              <c:f>'UU-Triaxial'!$C$10:$C$30</c:f>
              <c:numCache>
                <c:formatCode>0.000</c:formatCode>
                <c:ptCount val="21"/>
                <c:pt idx="0">
                  <c:v>0</c:v>
                </c:pt>
                <c:pt idx="1">
                  <c:v>9.0854027861901887E-2</c:v>
                </c:pt>
                <c:pt idx="2">
                  <c:v>0.18170805572380377</c:v>
                </c:pt>
                <c:pt idx="3">
                  <c:v>0.27256208358570566</c:v>
                </c:pt>
                <c:pt idx="4">
                  <c:v>0.36341611144760755</c:v>
                </c:pt>
                <c:pt idx="5">
                  <c:v>0.45427013930950938</c:v>
                </c:pt>
                <c:pt idx="6">
                  <c:v>0.54512416717141132</c:v>
                </c:pt>
                <c:pt idx="7">
                  <c:v>0.90854027861901876</c:v>
                </c:pt>
                <c:pt idx="8">
                  <c:v>1.5142337976983646</c:v>
                </c:pt>
                <c:pt idx="9">
                  <c:v>2.1199273167777104</c:v>
                </c:pt>
                <c:pt idx="10">
                  <c:v>2.7256208358570566</c:v>
                </c:pt>
                <c:pt idx="11">
                  <c:v>3.3313143549364024</c:v>
                </c:pt>
                <c:pt idx="12">
                  <c:v>4.3912780133252571</c:v>
                </c:pt>
                <c:pt idx="13">
                  <c:v>5.1483949121744397</c:v>
                </c:pt>
                <c:pt idx="14">
                  <c:v>6.0569351907934585</c:v>
                </c:pt>
                <c:pt idx="15">
                  <c:v>7.2683222289521501</c:v>
                </c:pt>
                <c:pt idx="16">
                  <c:v>8.4797092671108416</c:v>
                </c:pt>
                <c:pt idx="17">
                  <c:v>9.691096305269534</c:v>
                </c:pt>
                <c:pt idx="18">
                  <c:v>10.902483343428226</c:v>
                </c:pt>
                <c:pt idx="19">
                  <c:v>12.113870381586917</c:v>
                </c:pt>
                <c:pt idx="20">
                  <c:v>13.32525741974561</c:v>
                </c:pt>
              </c:numCache>
            </c:numRef>
          </c:xVal>
          <c:yVal>
            <c:numRef>
              <c:f>'UU-Triaxial'!$F$10:$F$30</c:f>
              <c:numCache>
                <c:formatCode>0.00</c:formatCode>
                <c:ptCount val="21"/>
                <c:pt idx="0">
                  <c:v>0</c:v>
                </c:pt>
                <c:pt idx="1">
                  <c:v>8.2012873533117041</c:v>
                </c:pt>
                <c:pt idx="2">
                  <c:v>16.236388058885819</c:v>
                </c:pt>
                <c:pt idx="3">
                  <c:v>23.929393328265135</c:v>
                </c:pt>
                <c:pt idx="4">
                  <c:v>32.438828941915084</c:v>
                </c:pt>
                <c:pt idx="5">
                  <c:v>38.971556762674133</c:v>
                </c:pt>
                <c:pt idx="6">
                  <c:v>42.754226773992244</c:v>
                </c:pt>
                <c:pt idx="7">
                  <c:v>49.130360051232742</c:v>
                </c:pt>
                <c:pt idx="8">
                  <c:v>55.571236207348825</c:v>
                </c:pt>
                <c:pt idx="9">
                  <c:v>59.803082888484056</c:v>
                </c:pt>
                <c:pt idx="10">
                  <c:v>62.799001474486786</c:v>
                </c:pt>
                <c:pt idx="11">
                  <c:v>65.777418677353012</c:v>
                </c:pt>
                <c:pt idx="12">
                  <c:v>68.219634194692347</c:v>
                </c:pt>
                <c:pt idx="13">
                  <c:v>67.344006645835449</c:v>
                </c:pt>
                <c:pt idx="14">
                  <c:v>64.065159231400514</c:v>
                </c:pt>
                <c:pt idx="15">
                  <c:v>60.920280009383717</c:v>
                </c:pt>
                <c:pt idx="16">
                  <c:v>58.575691307154152</c:v>
                </c:pt>
                <c:pt idx="17">
                  <c:v>57.389789018714268</c:v>
                </c:pt>
                <c:pt idx="18">
                  <c:v>56.147389695376567</c:v>
                </c:pt>
                <c:pt idx="19">
                  <c:v>54.6625640889335</c:v>
                </c:pt>
                <c:pt idx="20">
                  <c:v>52.869246007885941</c:v>
                </c:pt>
              </c:numCache>
            </c:numRef>
          </c:yVal>
          <c:smooth val="1"/>
        </c:ser>
        <c:axId val="78318592"/>
        <c:axId val="78374016"/>
      </c:scatterChart>
      <c:valAx>
        <c:axId val="7831859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Axial strain (%)</a:t>
                </a:r>
              </a:p>
            </c:rich>
          </c:tx>
          <c:layout>
            <c:manualLayout>
              <c:xMode val="edge"/>
              <c:yMode val="edge"/>
              <c:x val="0.45117125984251971"/>
              <c:y val="0.89588945499459904"/>
            </c:manualLayout>
          </c:layout>
        </c:title>
        <c:numFmt formatCode="0" sourceLinked="0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8374016"/>
        <c:crosses val="autoZero"/>
        <c:crossBetween val="midCat"/>
      </c:valAx>
      <c:valAx>
        <c:axId val="78374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Principal stress difference </a:t>
                </a:r>
                <a:r>
                  <a:rPr lang="en-US" sz="1200" b="0">
                    <a:latin typeface="Symbol" pitchFamily="18" charset="2"/>
                  </a:rPr>
                  <a:t>D</a:t>
                </a:r>
                <a:r>
                  <a:rPr lang="en-US" sz="1200" b="0" baseline="0">
                    <a:latin typeface="Symbol" pitchFamily="18" charset="2"/>
                  </a:rPr>
                  <a:t>s</a:t>
                </a:r>
                <a:r>
                  <a:rPr lang="en-US" sz="1200" b="0"/>
                  <a:t> (kPa)</a:t>
                </a:r>
              </a:p>
            </c:rich>
          </c:tx>
        </c:title>
        <c:numFmt formatCode="0" sourceLinked="0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8318592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579396325459321"/>
          <c:y val="5.1400554097404488E-2"/>
          <c:w val="0.80957414698162256"/>
          <c:h val="0.76581765820940051"/>
        </c:manualLayout>
      </c:layout>
      <c:scatterChart>
        <c:scatterStyle val="lineMarker"/>
        <c:ser>
          <c:idx val="0"/>
          <c:order val="0"/>
          <c:spPr>
            <a:ln w="22225">
              <a:solidFill>
                <a:schemeClr val="tx1"/>
              </a:solidFill>
            </a:ln>
          </c:spPr>
          <c:xVal>
            <c:numRef>
              <c:f>Sieve!$A$13:$A$20</c:f>
              <c:numCache>
                <c:formatCode>General</c:formatCode>
                <c:ptCount val="8"/>
                <c:pt idx="0">
                  <c:v>9.5</c:v>
                </c:pt>
                <c:pt idx="1">
                  <c:v>4.75</c:v>
                </c:pt>
                <c:pt idx="2">
                  <c:v>2.36</c:v>
                </c:pt>
                <c:pt idx="3">
                  <c:v>1.18</c:v>
                </c:pt>
                <c:pt idx="4">
                  <c:v>0.6</c:v>
                </c:pt>
                <c:pt idx="5">
                  <c:v>0.3</c:v>
                </c:pt>
                <c:pt idx="6">
                  <c:v>0.15</c:v>
                </c:pt>
                <c:pt idx="7">
                  <c:v>7.4999999999999997E-2</c:v>
                </c:pt>
              </c:numCache>
            </c:numRef>
          </c:xVal>
          <c:yVal>
            <c:numRef>
              <c:f>Sieve!$G$13:$G$20</c:f>
              <c:numCache>
                <c:formatCode>0.0</c:formatCode>
                <c:ptCount val="8"/>
                <c:pt idx="0">
                  <c:v>100</c:v>
                </c:pt>
                <c:pt idx="1">
                  <c:v>96.147482864571032</c:v>
                </c:pt>
                <c:pt idx="2">
                  <c:v>67.218151737177976</c:v>
                </c:pt>
                <c:pt idx="3">
                  <c:v>39.848735523516893</c:v>
                </c:pt>
                <c:pt idx="4">
                  <c:v>26.116757267785374</c:v>
                </c:pt>
                <c:pt idx="5">
                  <c:v>18.175372252422562</c:v>
                </c:pt>
                <c:pt idx="6">
                  <c:v>15.622784211770238</c:v>
                </c:pt>
                <c:pt idx="7">
                  <c:v>13.8501536279839</c:v>
                </c:pt>
              </c:numCache>
            </c:numRef>
          </c:yVal>
          <c:smooth val="1"/>
        </c:ser>
        <c:axId val="78487552"/>
        <c:axId val="78489472"/>
      </c:scatterChart>
      <c:valAx>
        <c:axId val="78487552"/>
        <c:scaling>
          <c:logBase val="10"/>
          <c:orientation val="maxMin"/>
          <c:max val="10"/>
          <c:min val="1.0000000000000005E-2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Grain size (mm)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8489472"/>
        <c:crosses val="autoZero"/>
        <c:crossBetween val="midCat"/>
      </c:valAx>
      <c:valAx>
        <c:axId val="78489472"/>
        <c:scaling>
          <c:orientation val="minMax"/>
          <c:max val="100"/>
        </c:scaling>
        <c:axPos val="r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% Passing</a:t>
                </a:r>
              </a:p>
            </c:rich>
          </c:tx>
          <c:layout>
            <c:manualLayout>
              <c:xMode val="edge"/>
              <c:yMode val="edge"/>
              <c:x val="9.3055555555558809E-3"/>
              <c:y val="0.31926676362907619"/>
            </c:manualLayout>
          </c:layout>
        </c:title>
        <c:numFmt formatCode="0" sourceLinked="0"/>
        <c:minorTickMark val="in"/>
        <c:tickLblPos val="high"/>
        <c:txPr>
          <a:bodyPr/>
          <a:lstStyle/>
          <a:p>
            <a:pPr>
              <a:defRPr sz="1100"/>
            </a:pPr>
            <a:endParaRPr lang="en-US"/>
          </a:p>
        </c:txPr>
        <c:crossAx val="78487552"/>
        <c:crossesAt val="1.0000000000000005E-2"/>
        <c:crossBetween val="midCat"/>
        <c:minorUnit val="5"/>
      </c:valAx>
    </c:plotArea>
    <c:plotVisOnly val="1"/>
  </c:chart>
  <c:spPr>
    <a:solidFill>
      <a:schemeClr val="bg1"/>
    </a:solidFill>
    <a:ln>
      <a:noFill/>
    </a:ln>
  </c:sp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579396325459321"/>
          <c:y val="5.1400554097404488E-2"/>
          <c:w val="0.80957414698162256"/>
          <c:h val="0.76581765820940084"/>
        </c:manualLayout>
      </c:layout>
      <c:scatterChart>
        <c:scatterStyle val="lineMarker"/>
        <c:ser>
          <c:idx val="0"/>
          <c:order val="0"/>
          <c:spPr>
            <a:ln w="22225">
              <a:solidFill>
                <a:schemeClr val="tx1"/>
              </a:solidFill>
            </a:ln>
          </c:spPr>
          <c:xVal>
            <c:numRef>
              <c:f>Sieve!$A$13:$A$20</c:f>
              <c:numCache>
                <c:formatCode>General</c:formatCode>
                <c:ptCount val="8"/>
                <c:pt idx="0">
                  <c:v>9.5</c:v>
                </c:pt>
                <c:pt idx="1">
                  <c:v>4.75</c:v>
                </c:pt>
                <c:pt idx="2">
                  <c:v>2.36</c:v>
                </c:pt>
                <c:pt idx="3">
                  <c:v>1.18</c:v>
                </c:pt>
                <c:pt idx="4">
                  <c:v>0.6</c:v>
                </c:pt>
                <c:pt idx="5">
                  <c:v>0.3</c:v>
                </c:pt>
                <c:pt idx="6">
                  <c:v>0.15</c:v>
                </c:pt>
                <c:pt idx="7">
                  <c:v>7.4999999999999997E-2</c:v>
                </c:pt>
              </c:numCache>
            </c:numRef>
          </c:xVal>
          <c:yVal>
            <c:numRef>
              <c:f>Sieve!$G$13:$G$20</c:f>
              <c:numCache>
                <c:formatCode>0.0</c:formatCode>
                <c:ptCount val="8"/>
                <c:pt idx="0">
                  <c:v>100</c:v>
                </c:pt>
                <c:pt idx="1">
                  <c:v>96.147482864571032</c:v>
                </c:pt>
                <c:pt idx="2">
                  <c:v>67.218151737177976</c:v>
                </c:pt>
                <c:pt idx="3">
                  <c:v>39.848735523516893</c:v>
                </c:pt>
                <c:pt idx="4">
                  <c:v>26.116757267785374</c:v>
                </c:pt>
                <c:pt idx="5">
                  <c:v>18.175372252422562</c:v>
                </c:pt>
                <c:pt idx="6">
                  <c:v>15.622784211770238</c:v>
                </c:pt>
                <c:pt idx="7">
                  <c:v>13.8501536279839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Hydrometer!$I$13:$I$26</c:f>
              <c:numCache>
                <c:formatCode>0.00000</c:formatCode>
                <c:ptCount val="14"/>
                <c:pt idx="0">
                  <c:v>5.6916426627117059E-2</c:v>
                </c:pt>
                <c:pt idx="1">
                  <c:v>4.0439651482177742E-2</c:v>
                </c:pt>
                <c:pt idx="2">
                  <c:v>2.9002088011038103E-2</c:v>
                </c:pt>
                <c:pt idx="3">
                  <c:v>2.0791338485051897E-2</c:v>
                </c:pt>
                <c:pt idx="4">
                  <c:v>1.5095001805233415E-2</c:v>
                </c:pt>
                <c:pt idx="5">
                  <c:v>1.1257591944994275E-2</c:v>
                </c:pt>
                <c:pt idx="6">
                  <c:v>8.1542509527239831E-3</c:v>
                </c:pt>
                <c:pt idx="7">
                  <c:v>5.899869871446319E-3</c:v>
                </c:pt>
                <c:pt idx="8">
                  <c:v>4.2796875703723985E-3</c:v>
                </c:pt>
                <c:pt idx="9">
                  <c:v>3.0900651934870241E-3</c:v>
                </c:pt>
                <c:pt idx="10">
                  <c:v>2.22194017414961E-3</c:v>
                </c:pt>
                <c:pt idx="11">
                  <c:v>1.3121091799084405E-3</c:v>
                </c:pt>
                <c:pt idx="12">
                  <c:v>1.1434594630987142E-3</c:v>
                </c:pt>
                <c:pt idx="13">
                  <c:v>9.3942401236076563E-4</c:v>
                </c:pt>
              </c:numCache>
            </c:numRef>
          </c:xVal>
          <c:yVal>
            <c:numRef>
              <c:f>Hydrometer!$K$13:$K$26</c:f>
              <c:numCache>
                <c:formatCode>0.0</c:formatCode>
                <c:ptCount val="14"/>
                <c:pt idx="0">
                  <c:v>13.395636307228381</c:v>
                </c:pt>
                <c:pt idx="1">
                  <c:v>13.24646441071136</c:v>
                </c:pt>
                <c:pt idx="2">
                  <c:v>12.798948721160301</c:v>
                </c:pt>
                <c:pt idx="3">
                  <c:v>12.351433031609242</c:v>
                </c:pt>
                <c:pt idx="4">
                  <c:v>11.456401652507124</c:v>
                </c:pt>
                <c:pt idx="5">
                  <c:v>10.710542169922023</c:v>
                </c:pt>
                <c:pt idx="6">
                  <c:v>9.8155107908199035</c:v>
                </c:pt>
                <c:pt idx="7">
                  <c:v>8.9204794117177855</c:v>
                </c:pt>
                <c:pt idx="8">
                  <c:v>7.8762761360986477</c:v>
                </c:pt>
                <c:pt idx="9">
                  <c:v>6.9812447569965261</c:v>
                </c:pt>
                <c:pt idx="10">
                  <c:v>6.2353852744114286</c:v>
                </c:pt>
                <c:pt idx="11">
                  <c:v>5.19118199879229</c:v>
                </c:pt>
                <c:pt idx="12">
                  <c:v>4.8928382057582507</c:v>
                </c:pt>
                <c:pt idx="13">
                  <c:v>4.5944944127242104</c:v>
                </c:pt>
              </c:numCache>
            </c:numRef>
          </c:yVal>
          <c:smooth val="1"/>
        </c:ser>
        <c:axId val="78534912"/>
        <c:axId val="78545280"/>
      </c:scatterChart>
      <c:valAx>
        <c:axId val="78534912"/>
        <c:scaling>
          <c:logBase val="10"/>
          <c:orientation val="maxMin"/>
          <c:max val="10"/>
          <c:min val="1.0000000000000041E-3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Grain size (mm)</a:t>
                </a:r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8545280"/>
        <c:crosses val="autoZero"/>
        <c:crossBetween val="midCat"/>
      </c:valAx>
      <c:valAx>
        <c:axId val="78545280"/>
        <c:scaling>
          <c:orientation val="minMax"/>
          <c:max val="100"/>
        </c:scaling>
        <c:axPos val="r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% Passing</a:t>
                </a:r>
              </a:p>
            </c:rich>
          </c:tx>
          <c:layout>
            <c:manualLayout>
              <c:xMode val="edge"/>
              <c:yMode val="edge"/>
              <c:x val="9.3055555555558896E-3"/>
              <c:y val="0.31926676362907647"/>
            </c:manualLayout>
          </c:layout>
        </c:title>
        <c:numFmt formatCode="0" sourceLinked="0"/>
        <c:minorTickMark val="in"/>
        <c:tickLblPos val="high"/>
        <c:txPr>
          <a:bodyPr/>
          <a:lstStyle/>
          <a:p>
            <a:pPr>
              <a:defRPr sz="1100"/>
            </a:pPr>
            <a:endParaRPr lang="en-US"/>
          </a:p>
        </c:txPr>
        <c:crossAx val="78534912"/>
        <c:crossesAt val="10"/>
        <c:crossBetween val="midCat"/>
        <c:minorUnit val="5"/>
      </c:valAx>
    </c:plotArea>
    <c:plotVisOnly val="1"/>
  </c:chart>
  <c:spPr>
    <a:solidFill>
      <a:schemeClr val="bg1"/>
    </a:solidFill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19</xdr:row>
      <xdr:rowOff>38100</xdr:rowOff>
    </xdr:from>
    <xdr:to>
      <xdr:col>16</xdr:col>
      <xdr:colOff>342900</xdr:colOff>
      <xdr:row>38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228600</xdr:colOff>
      <xdr:row>0</xdr:row>
      <xdr:rowOff>238125</xdr:rowOff>
    </xdr:from>
    <xdr:to>
      <xdr:col>22</xdr:col>
      <xdr:colOff>476250</xdr:colOff>
      <xdr:row>17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19050</xdr:colOff>
      <xdr:row>18</xdr:row>
      <xdr:rowOff>19050</xdr:rowOff>
    </xdr:from>
    <xdr:to>
      <xdr:col>24</xdr:col>
      <xdr:colOff>323850</xdr:colOff>
      <xdr:row>37</xdr:row>
      <xdr:rowOff>76201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0</xdr:row>
      <xdr:rowOff>152400</xdr:rowOff>
    </xdr:from>
    <xdr:to>
      <xdr:col>17</xdr:col>
      <xdr:colOff>47625</xdr:colOff>
      <xdr:row>17</xdr:row>
      <xdr:rowOff>190501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0.57083</cdr:x>
      <cdr:y>0.61559</cdr:y>
    </cdr:from>
    <cdr:to>
      <cdr:x>0.90625</cdr:x>
      <cdr:y>0.68817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09850" y="2181225"/>
          <a:ext cx="153352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Cell pressure = 100 kPa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1</xdr:row>
      <xdr:rowOff>28575</xdr:rowOff>
    </xdr:from>
    <xdr:to>
      <xdr:col>16</xdr:col>
      <xdr:colOff>295275</xdr:colOff>
      <xdr:row>14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7</xdr:row>
      <xdr:rowOff>9525</xdr:rowOff>
    </xdr:from>
    <xdr:to>
      <xdr:col>19</xdr:col>
      <xdr:colOff>76200</xdr:colOff>
      <xdr:row>21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0.56875</cdr:x>
      <cdr:y>0.36306</cdr:y>
    </cdr:from>
    <cdr:to>
      <cdr:x>0.56875</cdr:x>
      <cdr:y>0.46178</cdr:y>
    </cdr:to>
    <cdr:sp macro="" textlink="">
      <cdr:nvSpPr>
        <cdr:cNvPr id="3" name="Straight Connector 2"/>
        <cdr:cNvSpPr/>
      </cdr:nvSpPr>
      <cdr:spPr>
        <a:xfrm xmlns:a="http://schemas.openxmlformats.org/drawingml/2006/main" rot="5400000" flipH="1" flipV="1">
          <a:off x="2600325" y="1085850"/>
          <a:ext cx="1" cy="29527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0.52917</cdr:x>
      <cdr:y>0.40764</cdr:y>
    </cdr:from>
    <cdr:to>
      <cdr:x>0.60833</cdr:x>
      <cdr:y>0.41083</cdr:y>
    </cdr:to>
    <cdr:sp macro="" textlink="">
      <cdr:nvSpPr>
        <cdr:cNvPr id="5" name="Straight Arrow Connector 4"/>
        <cdr:cNvSpPr/>
      </cdr:nvSpPr>
      <cdr:spPr>
        <a:xfrm xmlns:a="http://schemas.openxmlformats.org/drawingml/2006/main">
          <a:off x="2419350" y="1219200"/>
          <a:ext cx="361950" cy="95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stealth"/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0.60417</cdr:x>
      <cdr:y>0.36624</cdr:y>
    </cdr:from>
    <cdr:to>
      <cdr:x>0.82083</cdr:x>
      <cdr:y>0.46815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762251" y="1095375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Hydrometer</a:t>
          </a:r>
        </a:p>
      </cdr:txBody>
    </cdr:sp>
  </cdr:relSizeAnchor>
  <cdr:relSizeAnchor xmlns:cdr="http://schemas.openxmlformats.org/drawingml/2006/chartDrawing">
    <cdr:from>
      <cdr:x>0.42917</cdr:x>
      <cdr:y>0.36943</cdr:y>
    </cdr:from>
    <cdr:to>
      <cdr:x>0.55</cdr:x>
      <cdr:y>0.44904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962150" y="1104900"/>
          <a:ext cx="5524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Sieve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</xdr:rowOff>
    </xdr:from>
    <xdr:to>
      <xdr:col>8</xdr:col>
      <xdr:colOff>590550</xdr:colOff>
      <xdr:row>30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16</xdr:row>
      <xdr:rowOff>123824</xdr:rowOff>
    </xdr:from>
    <xdr:to>
      <xdr:col>28</xdr:col>
      <xdr:colOff>28575</xdr:colOff>
      <xdr:row>32</xdr:row>
      <xdr:rowOff>171449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0.60105</cdr:x>
      <cdr:y>0.43791</cdr:y>
    </cdr:from>
    <cdr:to>
      <cdr:x>0.60105</cdr:x>
      <cdr:y>0.80845</cdr:y>
    </cdr:to>
    <cdr:sp macro="" textlink="">
      <cdr:nvSpPr>
        <cdr:cNvPr id="3" name="Straight Connector 2"/>
        <cdr:cNvSpPr/>
      </cdr:nvSpPr>
      <cdr:spPr>
        <a:xfrm xmlns:a="http://schemas.openxmlformats.org/drawingml/2006/main" rot="5400000">
          <a:off x="2746126" y="1816352"/>
          <a:ext cx="1080000" cy="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0.13937</cdr:x>
      <cdr:y>0.42484</cdr:y>
    </cdr:from>
    <cdr:to>
      <cdr:x>0.60105</cdr:x>
      <cdr:y>0.42484</cdr:y>
    </cdr:to>
    <cdr:sp macro="" textlink="">
      <cdr:nvSpPr>
        <cdr:cNvPr id="5" name="Straight Connector 4"/>
        <cdr:cNvSpPr/>
      </cdr:nvSpPr>
      <cdr:spPr>
        <a:xfrm xmlns:a="http://schemas.openxmlformats.org/drawingml/2006/main" rot="10800000">
          <a:off x="762001" y="1238250"/>
          <a:ext cx="252412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0.56969</cdr:x>
      <cdr:y>0.83987</cdr:y>
    </cdr:from>
    <cdr:to>
      <cdr:x>0.64286</cdr:x>
      <cdr:y>0.93791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114675" y="2447925"/>
          <a:ext cx="4000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25</a:t>
          </a:r>
        </a:p>
      </cdr:txBody>
    </cdr:sp>
  </cdr:relSizeAnchor>
  <cdr:relSizeAnchor xmlns:cdr="http://schemas.openxmlformats.org/drawingml/2006/chartDrawing">
    <cdr:from>
      <cdr:x>0.45645</cdr:x>
      <cdr:y>0.83333</cdr:y>
    </cdr:from>
    <cdr:to>
      <cdr:x>0.51916</cdr:x>
      <cdr:y>0.91176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95549" y="2428875"/>
          <a:ext cx="342901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20</a:t>
          </a:r>
        </a:p>
      </cdr:txBody>
    </cdr:sp>
  </cdr:relSizeAnchor>
  <cdr:relSizeAnchor xmlns:cdr="http://schemas.openxmlformats.org/drawingml/2006/chartDrawing">
    <cdr:from>
      <cdr:x>0.80488</cdr:x>
      <cdr:y>0.8366</cdr:y>
    </cdr:from>
    <cdr:to>
      <cdr:x>0.87108</cdr:x>
      <cdr:y>0.91503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400549" y="2438400"/>
          <a:ext cx="361951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40</a:t>
          </a:r>
        </a:p>
      </cdr:txBody>
    </cdr:sp>
  </cdr:relSizeAnchor>
  <cdr:relSizeAnchor xmlns:cdr="http://schemas.openxmlformats.org/drawingml/2006/chartDrawing">
    <cdr:from>
      <cdr:x>0.66551</cdr:x>
      <cdr:y>0.8366</cdr:y>
    </cdr:from>
    <cdr:to>
      <cdr:x>0.72648</cdr:x>
      <cdr:y>0.9183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638550" y="2438400"/>
          <a:ext cx="333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30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0.9125</cdr:x>
      <cdr:y>0.82769</cdr:y>
    </cdr:from>
    <cdr:to>
      <cdr:x>0.98542</cdr:x>
      <cdr:y>0.92615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71950" y="2562226"/>
          <a:ext cx="3333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50</a:t>
          </a:r>
        </a:p>
      </cdr:txBody>
    </cdr:sp>
  </cdr:relSizeAnchor>
  <cdr:relSizeAnchor xmlns:cdr="http://schemas.openxmlformats.org/drawingml/2006/chartDrawing">
    <cdr:from>
      <cdr:x>0.43542</cdr:x>
      <cdr:y>0.83077</cdr:y>
    </cdr:from>
    <cdr:to>
      <cdr:x>0.50833</cdr:x>
      <cdr:y>0.92923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90725" y="2571750"/>
          <a:ext cx="3333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20</a:t>
          </a:r>
        </a:p>
      </cdr:txBody>
    </cdr:sp>
  </cdr:relSizeAnchor>
  <cdr:relSizeAnchor xmlns:cdr="http://schemas.openxmlformats.org/drawingml/2006/chartDrawing">
    <cdr:from>
      <cdr:x>0.65208</cdr:x>
      <cdr:y>0.83077</cdr:y>
    </cdr:from>
    <cdr:to>
      <cdr:x>0.725</cdr:x>
      <cdr:y>0.92923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81325" y="2571750"/>
          <a:ext cx="3333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30</a:t>
          </a:r>
        </a:p>
      </cdr:txBody>
    </cdr:sp>
  </cdr:relSizeAnchor>
  <cdr:relSizeAnchor xmlns:cdr="http://schemas.openxmlformats.org/drawingml/2006/chartDrawing">
    <cdr:from>
      <cdr:x>0.80625</cdr:x>
      <cdr:y>0.83385</cdr:y>
    </cdr:from>
    <cdr:to>
      <cdr:x>0.87917</cdr:x>
      <cdr:y>0.93231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732252" y="2581275"/>
          <a:ext cx="337542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40</a:t>
          </a:r>
        </a:p>
      </cdr:txBody>
    </cdr:sp>
  </cdr:relSizeAnchor>
  <cdr:relSizeAnchor xmlns:cdr="http://schemas.openxmlformats.org/drawingml/2006/chartDrawing">
    <cdr:from>
      <cdr:x>0.29167</cdr:x>
      <cdr:y>0.80615</cdr:y>
    </cdr:from>
    <cdr:to>
      <cdr:x>0.36458</cdr:x>
      <cdr:y>0.90462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333500" y="2495550"/>
          <a:ext cx="3333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15</a:t>
          </a:r>
        </a:p>
      </cdr:txBody>
    </cdr:sp>
  </cdr:relSizeAnchor>
  <cdr:relSizeAnchor xmlns:cdr="http://schemas.openxmlformats.org/drawingml/2006/chartDrawing">
    <cdr:from>
      <cdr:x>0.55556</cdr:x>
      <cdr:y>0.8</cdr:y>
    </cdr:from>
    <cdr:to>
      <cdr:x>0.62847</cdr:x>
      <cdr:y>0.89846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571750" y="2476500"/>
          <a:ext cx="337542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/>
            <a:t>25</a:t>
          </a:r>
        </a:p>
      </cdr:txBody>
    </cdr:sp>
  </cdr:relSizeAnchor>
  <cdr:relSizeAnchor xmlns:cdr="http://schemas.openxmlformats.org/drawingml/2006/chartDrawing">
    <cdr:from>
      <cdr:x>0.73782</cdr:x>
      <cdr:y>0.80308</cdr:y>
    </cdr:from>
    <cdr:to>
      <cdr:x>0.81074</cdr:x>
      <cdr:y>0.90154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633337" y="2486025"/>
          <a:ext cx="359072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35</a:t>
          </a:r>
        </a:p>
      </cdr:txBody>
    </cdr:sp>
  </cdr:relSizeAnchor>
  <cdr:relSizeAnchor xmlns:cdr="http://schemas.openxmlformats.org/drawingml/2006/chartDrawing">
    <cdr:from>
      <cdr:x>0.86214</cdr:x>
      <cdr:y>0.80615</cdr:y>
    </cdr:from>
    <cdr:to>
      <cdr:x>0.93506</cdr:x>
      <cdr:y>0.90462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990975" y="2495550"/>
          <a:ext cx="337542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45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</xdr:rowOff>
    </xdr:from>
    <xdr:to>
      <xdr:col>8</xdr:col>
      <xdr:colOff>590550</xdr:colOff>
      <xdr:row>30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16</xdr:row>
      <xdr:rowOff>123824</xdr:rowOff>
    </xdr:from>
    <xdr:to>
      <xdr:col>28</xdr:col>
      <xdr:colOff>28575</xdr:colOff>
      <xdr:row>32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0.14111</cdr:x>
      <cdr:y>0.32353</cdr:y>
    </cdr:from>
    <cdr:to>
      <cdr:x>0.65506</cdr:x>
      <cdr:y>0.32353</cdr:y>
    </cdr:to>
    <cdr:sp macro="" textlink="">
      <cdr:nvSpPr>
        <cdr:cNvPr id="5" name="Straight Connector 4"/>
        <cdr:cNvSpPr/>
      </cdr:nvSpPr>
      <cdr:spPr>
        <a:xfrm xmlns:a="http://schemas.openxmlformats.org/drawingml/2006/main" rot="10800000">
          <a:off x="771525" y="942975"/>
          <a:ext cx="2809901" cy="1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0.41115</cdr:x>
      <cdr:y>0.83333</cdr:y>
    </cdr:from>
    <cdr:to>
      <cdr:x>0.48432</cdr:x>
      <cdr:y>0.93137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47920" y="2428877"/>
          <a:ext cx="400046" cy="285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15</a:t>
          </a:r>
        </a:p>
      </cdr:txBody>
    </cdr:sp>
  </cdr:relSizeAnchor>
  <cdr:relSizeAnchor xmlns:cdr="http://schemas.openxmlformats.org/drawingml/2006/chartDrawing">
    <cdr:from>
      <cdr:x>0.62021</cdr:x>
      <cdr:y>0.83006</cdr:y>
    </cdr:from>
    <cdr:to>
      <cdr:x>0.68292</cdr:x>
      <cdr:y>0.90849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390922" y="2419340"/>
          <a:ext cx="342857" cy="228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20</a:t>
          </a:r>
        </a:p>
      </cdr:txBody>
    </cdr:sp>
  </cdr:relSizeAnchor>
  <cdr:relSizeAnchor xmlns:cdr="http://schemas.openxmlformats.org/drawingml/2006/chartDrawing">
    <cdr:from>
      <cdr:x>0.78746</cdr:x>
      <cdr:y>0.8268</cdr:y>
    </cdr:from>
    <cdr:to>
      <cdr:x>0.85366</cdr:x>
      <cdr:y>0.90523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305311" y="2409821"/>
          <a:ext cx="361938" cy="228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25</a:t>
          </a:r>
        </a:p>
      </cdr:txBody>
    </cdr:sp>
  </cdr:relSizeAnchor>
  <cdr:relSizeAnchor xmlns:cdr="http://schemas.openxmlformats.org/drawingml/2006/chartDrawing">
    <cdr:from>
      <cdr:x>0.92683</cdr:x>
      <cdr:y>0.81372</cdr:y>
    </cdr:from>
    <cdr:to>
      <cdr:x>0.9878</cdr:x>
      <cdr:y>0.89542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5067326" y="2371721"/>
          <a:ext cx="333344" cy="238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30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0.27083</cdr:x>
      <cdr:y>0.1139</cdr:y>
    </cdr:from>
    <cdr:to>
      <cdr:x>0.82708</cdr:x>
      <cdr:y>0.68565</cdr:y>
    </cdr:to>
    <cdr:sp macro="" textlink="">
      <cdr:nvSpPr>
        <cdr:cNvPr id="4" name="Freeform 3"/>
        <cdr:cNvSpPr/>
      </cdr:nvSpPr>
      <cdr:spPr>
        <a:xfrm xmlns:a="http://schemas.openxmlformats.org/drawingml/2006/main">
          <a:off x="1238250" y="476250"/>
          <a:ext cx="2543175" cy="2390775"/>
        </a:xfrm>
        <a:custGeom xmlns:a="http://schemas.openxmlformats.org/drawingml/2006/main">
          <a:avLst/>
          <a:gdLst>
            <a:gd name="connsiteX0" fmla="*/ 2543175 w 2543175"/>
            <a:gd name="connsiteY0" fmla="*/ 2390775 h 2390775"/>
            <a:gd name="connsiteX1" fmla="*/ 1476375 w 2543175"/>
            <a:gd name="connsiteY1" fmla="*/ 800100 h 2390775"/>
            <a:gd name="connsiteX2" fmla="*/ 1047750 w 2543175"/>
            <a:gd name="connsiteY2" fmla="*/ 257175 h 2390775"/>
            <a:gd name="connsiteX3" fmla="*/ 752475 w 2543175"/>
            <a:gd name="connsiteY3" fmla="*/ 76200 h 2390775"/>
            <a:gd name="connsiteX4" fmla="*/ 0 w 2543175"/>
            <a:gd name="connsiteY4" fmla="*/ 0 h 2390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43175" h="2390775">
              <a:moveTo>
                <a:pt x="2543175" y="2390775"/>
              </a:moveTo>
              <a:cubicBezTo>
                <a:pt x="2134393" y="1773237"/>
                <a:pt x="1725612" y="1155700"/>
                <a:pt x="1476375" y="800100"/>
              </a:cubicBezTo>
              <a:cubicBezTo>
                <a:pt x="1227138" y="444500"/>
                <a:pt x="1168400" y="377825"/>
                <a:pt x="1047750" y="257175"/>
              </a:cubicBezTo>
              <a:cubicBezTo>
                <a:pt x="927100" y="136525"/>
                <a:pt x="927100" y="119062"/>
                <a:pt x="752475" y="76200"/>
              </a:cubicBezTo>
              <a:cubicBezTo>
                <a:pt x="577850" y="33338"/>
                <a:pt x="288925" y="16669"/>
                <a:pt x="0" y="0"/>
              </a:cubicBezTo>
            </a:path>
          </a:pathLst>
        </a:cu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0.26667</cdr:x>
      <cdr:y>0.51253</cdr:y>
    </cdr:from>
    <cdr:to>
      <cdr:x>0.82917</cdr:x>
      <cdr:y>0.68565</cdr:y>
    </cdr:to>
    <cdr:sp macro="" textlink="">
      <cdr:nvSpPr>
        <cdr:cNvPr id="6" name="Freeform 5"/>
        <cdr:cNvSpPr/>
      </cdr:nvSpPr>
      <cdr:spPr>
        <a:xfrm xmlns:a="http://schemas.openxmlformats.org/drawingml/2006/main">
          <a:off x="1219200" y="2143125"/>
          <a:ext cx="2571750" cy="723900"/>
        </a:xfrm>
        <a:custGeom xmlns:a="http://schemas.openxmlformats.org/drawingml/2006/main">
          <a:avLst/>
          <a:gdLst>
            <a:gd name="connsiteX0" fmla="*/ 2571750 w 2571750"/>
            <a:gd name="connsiteY0" fmla="*/ 723900 h 723900"/>
            <a:gd name="connsiteX1" fmla="*/ 0 w 2571750"/>
            <a:gd name="connsiteY1" fmla="*/ 0 h 723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71750" h="723900">
              <a:moveTo>
                <a:pt x="2571750" y="723900"/>
              </a:moveTo>
              <a:lnTo>
                <a:pt x="0" y="0"/>
              </a:lnTo>
            </a:path>
          </a:pathLst>
        </a:cu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0.21875</cdr:x>
      <cdr:y>0.65604</cdr:y>
    </cdr:from>
    <cdr:to>
      <cdr:x>0.49792</cdr:x>
      <cdr:y>0.83144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000125" y="2743200"/>
          <a:ext cx="1276350" cy="7334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i="1"/>
            <a:t>C</a:t>
          </a:r>
          <a:r>
            <a:rPr lang="en-US" sz="1200" i="1" baseline="-25000"/>
            <a:t>c</a:t>
          </a:r>
          <a:r>
            <a:rPr lang="en-US" sz="1200"/>
            <a:t> = 0.78</a:t>
          </a:r>
          <a:br>
            <a:rPr lang="en-US" sz="1200"/>
          </a:br>
          <a:r>
            <a:rPr lang="en-US" sz="1200" i="1"/>
            <a:t>C</a:t>
          </a:r>
          <a:r>
            <a:rPr lang="en-US" sz="1200" i="1" baseline="-25000"/>
            <a:t>r</a:t>
          </a:r>
          <a:r>
            <a:rPr lang="en-US" sz="1200"/>
            <a:t> = 0.15</a:t>
          </a:r>
          <a:br>
            <a:rPr lang="en-US" sz="1200"/>
          </a:br>
          <a:r>
            <a:rPr lang="en-US" sz="1200" i="1">
              <a:sym typeface="Symbol"/>
            </a:rPr>
            <a:t></a:t>
          </a:r>
          <a:r>
            <a:rPr lang="en-US" sz="1200" i="1" baseline="-25000">
              <a:sym typeface="Symbol"/>
            </a:rPr>
            <a:t>p</a:t>
          </a:r>
          <a:r>
            <a:rPr lang="en-US" sz="1200" i="1">
              <a:sym typeface="Symbol"/>
            </a:rPr>
            <a:t></a:t>
          </a:r>
          <a:r>
            <a:rPr lang="en-US" sz="1200">
              <a:sym typeface="Symbol"/>
            </a:rPr>
            <a:t> (kPa) =70 kPa </a:t>
          </a:r>
          <a:endParaRPr lang="en-US" sz="12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0.9183</cdr:x>
      <cdr:y>0.82769</cdr:y>
    </cdr:from>
    <cdr:to>
      <cdr:x>0.99122</cdr:x>
      <cdr:y>0.92615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22113" y="2562218"/>
          <a:ext cx="359089" cy="304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30</a:t>
          </a:r>
        </a:p>
      </cdr:txBody>
    </cdr:sp>
  </cdr:relSizeAnchor>
  <cdr:relSizeAnchor xmlns:cdr="http://schemas.openxmlformats.org/drawingml/2006/chartDrawing">
    <cdr:from>
      <cdr:x>0.60757</cdr:x>
      <cdr:y>0.82462</cdr:y>
    </cdr:from>
    <cdr:to>
      <cdr:x>0.68048</cdr:x>
      <cdr:y>0.92308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91918" y="2552702"/>
          <a:ext cx="359040" cy="304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20</a:t>
          </a:r>
        </a:p>
      </cdr:txBody>
    </cdr:sp>
  </cdr:relSizeAnchor>
  <cdr:relSizeAnchor xmlns:cdr="http://schemas.openxmlformats.org/drawingml/2006/chartDrawing">
    <cdr:from>
      <cdr:x>0.38838</cdr:x>
      <cdr:y>0.8</cdr:y>
    </cdr:from>
    <cdr:to>
      <cdr:x>0.46129</cdr:x>
      <cdr:y>0.89847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912557" y="2476488"/>
          <a:ext cx="359040" cy="304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15</a:t>
          </a:r>
        </a:p>
      </cdr:txBody>
    </cdr:sp>
  </cdr:relSizeAnchor>
  <cdr:relSizeAnchor xmlns:cdr="http://schemas.openxmlformats.org/drawingml/2006/chartDrawing">
    <cdr:from>
      <cdr:x>0.7867</cdr:x>
      <cdr:y>0.8</cdr:y>
    </cdr:from>
    <cdr:to>
      <cdr:x>0.85962</cdr:x>
      <cdr:y>0.89847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4069" y="2476488"/>
          <a:ext cx="359089" cy="304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25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9524</xdr:rowOff>
    </xdr:from>
    <xdr:to>
      <xdr:col>9</xdr:col>
      <xdr:colOff>0</xdr:colOff>
      <xdr:row>43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0.80556</cdr:x>
      <cdr:y>0.27778</cdr:y>
    </cdr:from>
    <cdr:to>
      <cdr:x>0.95833</cdr:x>
      <cdr:y>0.3545</cdr:y>
    </cdr:to>
    <cdr:sp macro="" textlink="">
      <cdr:nvSpPr>
        <cdr:cNvPr id="2" name="TextBox 1"/>
        <cdr:cNvSpPr txBox="1"/>
      </cdr:nvSpPr>
      <cdr:spPr>
        <a:xfrm xmlns:a="http://schemas.openxmlformats.org/drawingml/2006/main" rot="2589289">
          <a:off x="4419601" y="1000126"/>
          <a:ext cx="8382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ZAV curve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0.54089</cdr:x>
      <cdr:y>0.48349</cdr:y>
    </cdr:from>
    <cdr:to>
      <cdr:x>0.75093</cdr:x>
      <cdr:y>0.86321</cdr:y>
    </cdr:to>
    <cdr:sp macro="" textlink="">
      <cdr:nvSpPr>
        <cdr:cNvPr id="3" name="Straight Connector 2"/>
        <cdr:cNvSpPr/>
      </cdr:nvSpPr>
      <cdr:spPr>
        <a:xfrm xmlns:a="http://schemas.openxmlformats.org/drawingml/2006/main" rot="16200000" flipH="1">
          <a:off x="2543174" y="2181226"/>
          <a:ext cx="1533529" cy="10763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0.63569</cdr:x>
      <cdr:y>0.76415</cdr:y>
    </cdr:from>
    <cdr:to>
      <cdr:x>0.92193</cdr:x>
      <cdr:y>0.8907</cdr:y>
    </cdr:to>
    <cdr:sp macro="" textlink="">
      <cdr:nvSpPr>
        <cdr:cNvPr id="5" name="Straight Connector 4"/>
        <cdr:cNvSpPr/>
      </cdr:nvSpPr>
      <cdr:spPr>
        <a:xfrm xmlns:a="http://schemas.openxmlformats.org/drawingml/2006/main" rot="10800000">
          <a:off x="3257550" y="3129768"/>
          <a:ext cx="1466850" cy="51830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0.32156</cdr:x>
      <cdr:y>0.20755</cdr:y>
    </cdr:from>
    <cdr:to>
      <cdr:x>0.32156</cdr:x>
      <cdr:y>0.23821</cdr:y>
    </cdr:to>
    <cdr:sp macro="" textlink="">
      <cdr:nvSpPr>
        <cdr:cNvPr id="7" name="Straight Connector 6"/>
        <cdr:cNvSpPr/>
      </cdr:nvSpPr>
      <cdr:spPr>
        <a:xfrm xmlns:a="http://schemas.openxmlformats.org/drawingml/2006/main" rot="5400000">
          <a:off x="1647825" y="838199"/>
          <a:ext cx="1" cy="12382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0.39777</cdr:x>
      <cdr:y>0.20991</cdr:y>
    </cdr:from>
    <cdr:to>
      <cdr:x>0.39777</cdr:x>
      <cdr:y>0.23821</cdr:y>
    </cdr:to>
    <cdr:sp macro="" textlink="">
      <cdr:nvSpPr>
        <cdr:cNvPr id="12" name="Straight Connector 11"/>
        <cdr:cNvSpPr/>
      </cdr:nvSpPr>
      <cdr:spPr>
        <a:xfrm xmlns:a="http://schemas.openxmlformats.org/drawingml/2006/main" rot="5400000" flipV="1">
          <a:off x="1981200" y="904874"/>
          <a:ext cx="114303" cy="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0.2974</cdr:x>
      <cdr:y>0.22642</cdr:y>
    </cdr:from>
    <cdr:to>
      <cdr:x>0.33643</cdr:x>
      <cdr:y>0.2783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1524000" y="914400"/>
          <a:ext cx="2000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t</a:t>
          </a:r>
        </a:p>
      </cdr:txBody>
    </cdr:sp>
  </cdr:relSizeAnchor>
  <cdr:relSizeAnchor xmlns:cdr="http://schemas.openxmlformats.org/drawingml/2006/chartDrawing">
    <cdr:from>
      <cdr:x>0.36803</cdr:x>
      <cdr:y>0.22642</cdr:y>
    </cdr:from>
    <cdr:to>
      <cdr:x>0.42937</cdr:x>
      <cdr:y>0.28538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885950" y="914400"/>
          <a:ext cx="3143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4</a:t>
          </a:r>
          <a:r>
            <a:rPr lang="en-US" sz="1100" i="1"/>
            <a:t>t</a:t>
          </a:r>
        </a:p>
      </cdr:txBody>
    </cdr:sp>
  </cdr:relSizeAnchor>
  <cdr:relSizeAnchor xmlns:cdr="http://schemas.openxmlformats.org/drawingml/2006/chartDrawing">
    <cdr:from>
      <cdr:x>0.15613</cdr:x>
      <cdr:y>0.375</cdr:y>
    </cdr:from>
    <cdr:to>
      <cdr:x>0.17844</cdr:x>
      <cdr:y>0.375</cdr:y>
    </cdr:to>
    <cdr:sp macro="" textlink="">
      <cdr:nvSpPr>
        <cdr:cNvPr id="16" name="Straight Connector 15"/>
        <cdr:cNvSpPr/>
      </cdr:nvSpPr>
      <cdr:spPr>
        <a:xfrm xmlns:a="http://schemas.openxmlformats.org/drawingml/2006/main">
          <a:off x="800100" y="1514475"/>
          <a:ext cx="1143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0.15799</cdr:x>
      <cdr:y>0.81132</cdr:y>
    </cdr:from>
    <cdr:to>
      <cdr:x>0.17844</cdr:x>
      <cdr:y>0.81132</cdr:y>
    </cdr:to>
    <cdr:sp macro="" textlink="">
      <cdr:nvSpPr>
        <cdr:cNvPr id="18" name="Straight Connector 17"/>
        <cdr:cNvSpPr/>
      </cdr:nvSpPr>
      <cdr:spPr>
        <a:xfrm xmlns:a="http://schemas.openxmlformats.org/drawingml/2006/main">
          <a:off x="809625" y="3276600"/>
          <a:ext cx="10477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0.16543</cdr:x>
      <cdr:y>0.33491</cdr:y>
    </cdr:from>
    <cdr:to>
      <cdr:x>0.37361</cdr:x>
      <cdr:y>0.4033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847724" y="1352550"/>
          <a:ext cx="1066801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d</a:t>
          </a:r>
          <a:r>
            <a:rPr lang="en-US" sz="1100" i="1" baseline="-25000"/>
            <a:t>o</a:t>
          </a:r>
          <a:r>
            <a:rPr lang="en-US" sz="1100"/>
            <a:t> = 3.58</a:t>
          </a:r>
          <a:r>
            <a:rPr lang="en-US" sz="1100" baseline="0"/>
            <a:t> mm</a:t>
          </a:r>
          <a:endParaRPr lang="en-US" sz="1100"/>
        </a:p>
      </cdr:txBody>
    </cdr:sp>
  </cdr:relSizeAnchor>
  <cdr:relSizeAnchor xmlns:cdr="http://schemas.openxmlformats.org/drawingml/2006/chartDrawing">
    <cdr:from>
      <cdr:x>0.16729</cdr:x>
      <cdr:y>0.7783</cdr:y>
    </cdr:from>
    <cdr:to>
      <cdr:x>0.39405</cdr:x>
      <cdr:y>0.83726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857250" y="3143249"/>
          <a:ext cx="11620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d</a:t>
          </a:r>
          <a:r>
            <a:rPr lang="en-US" sz="1100" i="1" baseline="-25000"/>
            <a:t>100</a:t>
          </a:r>
          <a:r>
            <a:rPr lang="en-US" sz="1100"/>
            <a:t> = 5.10 mm</a:t>
          </a:r>
        </a:p>
      </cdr:txBody>
    </cdr:sp>
  </cdr:relSizeAnchor>
  <cdr:relSizeAnchor xmlns:cdr="http://schemas.openxmlformats.org/drawingml/2006/chartDrawing">
    <cdr:from>
      <cdr:x>0.15799</cdr:x>
      <cdr:y>0.59198</cdr:y>
    </cdr:from>
    <cdr:to>
      <cdr:x>0.59665</cdr:x>
      <cdr:y>0.59434</cdr:y>
    </cdr:to>
    <cdr:sp macro="" textlink="">
      <cdr:nvSpPr>
        <cdr:cNvPr id="22" name="Straight Connector 21"/>
        <cdr:cNvSpPr/>
      </cdr:nvSpPr>
      <cdr:spPr>
        <a:xfrm xmlns:a="http://schemas.openxmlformats.org/drawingml/2006/main" flipV="1">
          <a:off x="809625" y="2390774"/>
          <a:ext cx="2247900" cy="95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  <a:tailEnd type="stealth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0.60393</cdr:x>
      <cdr:y>0.20774</cdr:y>
    </cdr:from>
    <cdr:to>
      <cdr:x>0.60424</cdr:x>
      <cdr:y>0.58274</cdr:y>
    </cdr:to>
    <cdr:sp macro="" textlink="">
      <cdr:nvSpPr>
        <cdr:cNvPr id="24" name="Straight Arrow Connector 23"/>
        <cdr:cNvSpPr/>
      </cdr:nvSpPr>
      <cdr:spPr>
        <a:xfrm xmlns:a="http://schemas.openxmlformats.org/drawingml/2006/main" rot="5400000" flipH="1" flipV="1">
          <a:off x="3094831" y="838994"/>
          <a:ext cx="1589" cy="1514476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prstDash val="dash"/>
          <a:tailEnd type="stealth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0.59851</cdr:x>
      <cdr:y>0.23113</cdr:y>
    </cdr:from>
    <cdr:to>
      <cdr:x>0.77881</cdr:x>
      <cdr:y>0.32311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3067049" y="933450"/>
          <a:ext cx="92392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t</a:t>
          </a:r>
          <a:r>
            <a:rPr lang="en-US" sz="1100" i="1" baseline="-25000"/>
            <a:t>50</a:t>
          </a:r>
          <a:r>
            <a:rPr lang="en-US" sz="1100"/>
            <a:t> = 31 min</a:t>
          </a:r>
        </a:p>
      </cdr:txBody>
    </cdr:sp>
  </cdr:relSizeAnchor>
  <cdr:relSizeAnchor xmlns:cdr="http://schemas.openxmlformats.org/drawingml/2006/chartDrawing">
    <cdr:from>
      <cdr:x>0.15985</cdr:x>
      <cdr:y>0.53066</cdr:y>
    </cdr:from>
    <cdr:to>
      <cdr:x>0.35502</cdr:x>
      <cdr:y>0.5967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819150" y="2143126"/>
          <a:ext cx="10001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d</a:t>
          </a:r>
          <a:r>
            <a:rPr lang="en-US" sz="1100" i="1" baseline="-25000"/>
            <a:t>50</a:t>
          </a:r>
          <a:r>
            <a:rPr lang="en-US" sz="1100"/>
            <a:t> = 4.34 mm</a:t>
          </a:r>
        </a:p>
      </cdr:txBody>
    </cdr:sp>
  </cdr:relSizeAnchor>
  <cdr:relSizeAnchor xmlns:cdr="http://schemas.openxmlformats.org/drawingml/2006/chartDrawing">
    <cdr:from>
      <cdr:x>0.76022</cdr:x>
      <cdr:y>0.77674</cdr:y>
    </cdr:from>
    <cdr:to>
      <cdr:x>0.80297</cdr:x>
      <cdr:y>0.82558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3895725" y="3181350"/>
          <a:ext cx="219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A</a:t>
          </a:r>
        </a:p>
      </cdr:txBody>
    </cdr:sp>
  </cdr:relSizeAnchor>
  <cdr:relSizeAnchor xmlns:cdr="http://schemas.openxmlformats.org/drawingml/2006/chartDrawing">
    <cdr:from>
      <cdr:x>0.87546</cdr:x>
      <cdr:y>0.82791</cdr:y>
    </cdr:from>
    <cdr:to>
      <cdr:x>0.91822</cdr:x>
      <cdr:y>0.89535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486275" y="3390900"/>
          <a:ext cx="2190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B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0.1875</cdr:x>
      <cdr:y>0.24603</cdr:y>
    </cdr:from>
    <cdr:to>
      <cdr:x>0.39375</cdr:x>
      <cdr:y>0.87831</cdr:y>
    </cdr:to>
    <cdr:sp macro="" textlink="">
      <cdr:nvSpPr>
        <cdr:cNvPr id="3" name="Straight Connector 2"/>
        <cdr:cNvSpPr/>
      </cdr:nvSpPr>
      <cdr:spPr>
        <a:xfrm xmlns:a="http://schemas.openxmlformats.org/drawingml/2006/main" rot="16200000" flipH="1">
          <a:off x="857250" y="885824"/>
          <a:ext cx="942975" cy="227647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0.18542</cdr:x>
      <cdr:y>0.24494</cdr:y>
    </cdr:from>
    <cdr:to>
      <cdr:x>0.20417</cdr:x>
      <cdr:y>0.24494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847725" y="1038225"/>
          <a:ext cx="8572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0.18333</cdr:x>
      <cdr:y>0.2247</cdr:y>
    </cdr:from>
    <cdr:to>
      <cdr:x>0.38958</cdr:x>
      <cdr:y>0.28987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38185" y="950293"/>
          <a:ext cx="942975" cy="275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d</a:t>
          </a:r>
          <a:r>
            <a:rPr lang="en-US" sz="1100" i="1" baseline="-25000"/>
            <a:t>0</a:t>
          </a:r>
          <a:r>
            <a:rPr lang="en-US" sz="1100" i="1"/>
            <a:t> </a:t>
          </a:r>
          <a:r>
            <a:rPr lang="en-US" sz="1100"/>
            <a:t>= 3.61 mm</a:t>
          </a:r>
        </a:p>
      </cdr:txBody>
    </cdr:sp>
  </cdr:relSizeAnchor>
  <cdr:relSizeAnchor xmlns:cdr="http://schemas.openxmlformats.org/drawingml/2006/chartDrawing">
    <cdr:from>
      <cdr:x>0.1875</cdr:x>
      <cdr:y>0.2427</cdr:y>
    </cdr:from>
    <cdr:to>
      <cdr:x>0.42292</cdr:x>
      <cdr:y>0.88539</cdr:y>
    </cdr:to>
    <cdr:sp macro="" textlink="">
      <cdr:nvSpPr>
        <cdr:cNvPr id="8" name="Straight Connector 7"/>
        <cdr:cNvSpPr/>
      </cdr:nvSpPr>
      <cdr:spPr>
        <a:xfrm xmlns:a="http://schemas.openxmlformats.org/drawingml/2006/main" rot="16200000" flipH="1">
          <a:off x="33337" y="1852612"/>
          <a:ext cx="2724153" cy="1076329"/>
        </a:xfrm>
        <a:prstGeom xmlns:a="http://schemas.openxmlformats.org/drawingml/2006/main" prst="line">
          <a:avLst/>
        </a:prstGeom>
        <a:ln xmlns:a="http://schemas.openxmlformats.org/drawingml/2006/main" w="15875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0.1875</cdr:x>
      <cdr:y>0.66292</cdr:y>
    </cdr:from>
    <cdr:to>
      <cdr:x>0.34375</cdr:x>
      <cdr:y>0.66292</cdr:y>
    </cdr:to>
    <cdr:sp macro="" textlink="">
      <cdr:nvSpPr>
        <cdr:cNvPr id="10" name="Straight Connector 9"/>
        <cdr:cNvSpPr/>
      </cdr:nvSpPr>
      <cdr:spPr>
        <a:xfrm xmlns:a="http://schemas.openxmlformats.org/drawingml/2006/main">
          <a:off x="857250" y="2809875"/>
          <a:ext cx="714375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  <a:tailEnd type="stealth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0.33941</cdr:x>
      <cdr:y>0.21592</cdr:y>
    </cdr:from>
    <cdr:to>
      <cdr:x>0.33976</cdr:x>
      <cdr:y>0.66086</cdr:y>
    </cdr:to>
    <cdr:sp macro="" textlink="">
      <cdr:nvSpPr>
        <cdr:cNvPr id="12" name="Straight Arrow Connector 11"/>
        <cdr:cNvSpPr/>
      </cdr:nvSpPr>
      <cdr:spPr>
        <a:xfrm xmlns:a="http://schemas.openxmlformats.org/drawingml/2006/main" rot="5400000" flipH="1" flipV="1">
          <a:off x="1551781" y="915194"/>
          <a:ext cx="1588" cy="188595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prstDash val="dash"/>
          <a:tailEnd type="stealth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0.3625</cdr:x>
      <cdr:y>0.60449</cdr:y>
    </cdr:from>
    <cdr:to>
      <cdr:x>0.61875</cdr:x>
      <cdr:y>0.7236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1657349" y="2562225"/>
          <a:ext cx="1171575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d</a:t>
          </a:r>
          <a:r>
            <a:rPr lang="en-US" sz="1100" i="1" baseline="-25000"/>
            <a:t>90</a:t>
          </a:r>
          <a:r>
            <a:rPr lang="en-US" sz="1100"/>
            <a:t> = 4.73 mm</a:t>
          </a:r>
          <a:br>
            <a:rPr lang="en-US" sz="1100"/>
          </a:br>
          <a:r>
            <a:rPr lang="en-US" sz="1100">
              <a:sym typeface="Symbol"/>
            </a:rPr>
            <a:t></a:t>
          </a:r>
          <a:r>
            <a:rPr lang="en-US" sz="1100" i="1">
              <a:sym typeface="Symbol"/>
            </a:rPr>
            <a:t>t</a:t>
          </a:r>
          <a:r>
            <a:rPr lang="en-US" sz="1100" i="1" baseline="-25000">
              <a:sym typeface="Symbol"/>
            </a:rPr>
            <a:t>90</a:t>
          </a:r>
          <a:r>
            <a:rPr lang="en-US" sz="1100">
              <a:sym typeface="Symbol"/>
            </a:rPr>
            <a:t> = 10 min </a:t>
          </a:r>
          <a:r>
            <a:rPr lang="en-US" sz="1100" baseline="30000">
              <a:sym typeface="Symbol"/>
            </a:rPr>
            <a:t>0.5</a:t>
          </a:r>
          <a:endParaRPr lang="en-US" sz="1100" baseline="300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12</xdr:row>
      <xdr:rowOff>123825</xdr:rowOff>
    </xdr:from>
    <xdr:to>
      <xdr:col>17</xdr:col>
      <xdr:colOff>323850</xdr:colOff>
      <xdr:row>25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0.36024</cdr:x>
      <cdr:y>0.05588</cdr:y>
    </cdr:from>
    <cdr:to>
      <cdr:x>0.46457</cdr:x>
      <cdr:y>0.15882</cdr:y>
    </cdr:to>
    <cdr:sp macro="" textlink="">
      <cdr:nvSpPr>
        <cdr:cNvPr id="2" name="Oval 1"/>
        <cdr:cNvSpPr/>
      </cdr:nvSpPr>
      <cdr:spPr>
        <a:xfrm xmlns:a="http://schemas.openxmlformats.org/drawingml/2006/main">
          <a:off x="1743074" y="180975"/>
          <a:ext cx="504825" cy="33337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0.72047</cdr:x>
      <cdr:y>0.05882</cdr:y>
    </cdr:from>
    <cdr:to>
      <cdr:x>0.8248</cdr:x>
      <cdr:y>0.16176</cdr:y>
    </cdr:to>
    <cdr:sp macro="" textlink="">
      <cdr:nvSpPr>
        <cdr:cNvPr id="3" name="Oval 2"/>
        <cdr:cNvSpPr/>
      </cdr:nvSpPr>
      <cdr:spPr>
        <a:xfrm xmlns:a="http://schemas.openxmlformats.org/drawingml/2006/main">
          <a:off x="3486150" y="190500"/>
          <a:ext cx="504825" cy="33337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0.37598</cdr:x>
      <cdr:y>0.13824</cdr:y>
    </cdr:from>
    <cdr:to>
      <cdr:x>0.48031</cdr:x>
      <cdr:y>0.21471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19275" y="447675"/>
          <a:ext cx="504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Peak</a:t>
          </a:r>
        </a:p>
      </cdr:txBody>
    </cdr:sp>
  </cdr:relSizeAnchor>
  <cdr:relSizeAnchor xmlns:cdr="http://schemas.openxmlformats.org/drawingml/2006/chartDrawing">
    <cdr:from>
      <cdr:x>0.67323</cdr:x>
      <cdr:y>0.14118</cdr:y>
    </cdr:from>
    <cdr:to>
      <cdr:x>0.83465</cdr:x>
      <cdr:y>0.21765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257551" y="457200"/>
          <a:ext cx="7810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Ultimate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171450</xdr:rowOff>
    </xdr:from>
    <xdr:to>
      <xdr:col>8</xdr:col>
      <xdr:colOff>0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161925</xdr:rowOff>
    </xdr:from>
    <xdr:to>
      <xdr:col>7</xdr:col>
      <xdr:colOff>304800</xdr:colOff>
      <xdr:row>56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0.33333</cdr:x>
      <cdr:y>0.21053</cdr:y>
    </cdr:from>
    <cdr:to>
      <cdr:x>0.39375</cdr:x>
      <cdr:y>0.87812</cdr:y>
    </cdr:to>
    <cdr:sp macro="" textlink="">
      <cdr:nvSpPr>
        <cdr:cNvPr id="2" name="TextBox 1"/>
        <cdr:cNvSpPr txBox="1"/>
      </cdr:nvSpPr>
      <cdr:spPr>
        <a:xfrm xmlns:a="http://schemas.openxmlformats.org/drawingml/2006/main" rot="3659218">
          <a:off x="170967" y="2293503"/>
          <a:ext cx="2982275" cy="27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Final degree of saturation = 97%</a:t>
          </a:r>
        </a:p>
      </cdr:txBody>
    </cdr:sp>
  </cdr:relSizeAnchor>
  <cdr:relSizeAnchor xmlns:cdr="http://schemas.openxmlformats.org/drawingml/2006/chartDrawing">
    <cdr:from>
      <cdr:x>0.39584</cdr:x>
      <cdr:y>0.33285</cdr:y>
    </cdr:from>
    <cdr:to>
      <cdr:x>0.89792</cdr:x>
      <cdr:y>0.41318</cdr:y>
    </cdr:to>
    <cdr:sp macro="" textlink="">
      <cdr:nvSpPr>
        <cdr:cNvPr id="3" name="TextBox 1"/>
        <cdr:cNvSpPr txBox="1"/>
      </cdr:nvSpPr>
      <cdr:spPr>
        <a:xfrm xmlns:a="http://schemas.openxmlformats.org/drawingml/2006/main" rot="2119080">
          <a:off x="1809765" y="1486905"/>
          <a:ext cx="2295510" cy="358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/>
            <a:t>Final degree of saturation =100%</a:t>
          </a:r>
        </a:p>
      </cdr:txBody>
    </cdr:sp>
  </cdr:relSizeAnchor>
  <cdr:relSizeAnchor xmlns:cdr="http://schemas.openxmlformats.org/drawingml/2006/chartDrawing">
    <cdr:from>
      <cdr:x>0.60087</cdr:x>
      <cdr:y>0.51559</cdr:y>
    </cdr:from>
    <cdr:to>
      <cdr:x>0.7068</cdr:x>
      <cdr:y>0.59592</cdr:y>
    </cdr:to>
    <cdr:sp macro="" textlink="">
      <cdr:nvSpPr>
        <cdr:cNvPr id="4" name="TextBox 1"/>
        <cdr:cNvSpPr txBox="1"/>
      </cdr:nvSpPr>
      <cdr:spPr>
        <a:xfrm xmlns:a="http://schemas.openxmlformats.org/drawingml/2006/main" rot="2295456">
          <a:off x="2747194" y="1772871"/>
          <a:ext cx="48430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/>
            <a:t>99%</a:t>
          </a:r>
        </a:p>
      </cdr:txBody>
    </cdr:sp>
  </cdr:relSizeAnchor>
  <cdr:relSizeAnchor xmlns:cdr="http://schemas.openxmlformats.org/drawingml/2006/chartDrawing">
    <cdr:from>
      <cdr:x>0.47298</cdr:x>
      <cdr:y>0.48194</cdr:y>
    </cdr:from>
    <cdr:to>
      <cdr:x>0.53339</cdr:x>
      <cdr:y>0.62752</cdr:y>
    </cdr:to>
    <cdr:sp macro="" textlink="">
      <cdr:nvSpPr>
        <cdr:cNvPr id="5" name="TextBox 1"/>
        <cdr:cNvSpPr txBox="1"/>
      </cdr:nvSpPr>
      <cdr:spPr>
        <a:xfrm xmlns:a="http://schemas.openxmlformats.org/drawingml/2006/main" rot="2784415">
          <a:off x="2050291" y="1769341"/>
          <a:ext cx="500552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/>
            <a:t>98%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0.18333</cdr:x>
      <cdr:y>0.19108</cdr:y>
    </cdr:from>
    <cdr:to>
      <cdr:x>0.30417</cdr:x>
      <cdr:y>0.26433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8200" y="571500"/>
          <a:ext cx="5524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Peak</a:t>
          </a:r>
        </a:p>
      </cdr:txBody>
    </cdr:sp>
  </cdr:relSizeAnchor>
  <cdr:relSizeAnchor xmlns:cdr="http://schemas.openxmlformats.org/drawingml/2006/chartDrawing">
    <cdr:from>
      <cdr:x>0.74375</cdr:x>
      <cdr:y>0.41083</cdr:y>
    </cdr:from>
    <cdr:to>
      <cdr:x>0.89583</cdr:x>
      <cdr:y>0.48726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00425" y="1228725"/>
          <a:ext cx="6953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Residual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>
      <selection sqref="A1:I16"/>
    </sheetView>
  </sheetViews>
  <sheetFormatPr defaultRowHeight="15"/>
  <cols>
    <col min="1" max="16384" width="9.140625" style="9"/>
  </cols>
  <sheetData>
    <row r="1" spans="1:9" ht="19.5">
      <c r="A1" s="206" t="s">
        <v>203</v>
      </c>
      <c r="B1" s="206"/>
      <c r="C1" s="206"/>
      <c r="D1" s="206"/>
      <c r="E1" s="206"/>
      <c r="F1" s="206"/>
      <c r="G1" s="206"/>
      <c r="H1" s="206"/>
      <c r="I1" s="206"/>
    </row>
    <row r="2" spans="1:9" ht="19.5">
      <c r="A2" s="199" t="s">
        <v>215</v>
      </c>
      <c r="B2" s="199"/>
      <c r="C2" s="199"/>
      <c r="D2" s="199"/>
      <c r="E2" s="199"/>
      <c r="F2" s="199"/>
      <c r="G2" s="199"/>
      <c r="H2" s="199"/>
      <c r="I2" s="199"/>
    </row>
    <row r="3" spans="1:9" ht="19.5">
      <c r="A3" s="57" t="s">
        <v>202</v>
      </c>
      <c r="B3" s="57"/>
      <c r="C3" s="57"/>
      <c r="D3" s="57"/>
      <c r="E3" s="57"/>
      <c r="F3" s="207">
        <v>2.65</v>
      </c>
      <c r="G3" s="207"/>
      <c r="H3" s="207"/>
      <c r="I3" s="207"/>
    </row>
    <row r="4" spans="1:9" ht="19.5">
      <c r="A4" s="199" t="s">
        <v>204</v>
      </c>
      <c r="B4" s="199"/>
      <c r="C4" s="199"/>
      <c r="D4" s="199"/>
      <c r="E4" s="199"/>
      <c r="F4" s="199"/>
      <c r="G4" s="199"/>
      <c r="H4" s="199"/>
      <c r="I4" s="199"/>
    </row>
    <row r="5" spans="1:9" ht="19.5">
      <c r="A5" s="44" t="s">
        <v>206</v>
      </c>
      <c r="B5" s="208" t="s">
        <v>205</v>
      </c>
      <c r="C5" s="208"/>
      <c r="D5" s="208"/>
      <c r="E5" s="208"/>
      <c r="F5" s="208"/>
      <c r="G5" s="208"/>
      <c r="H5" s="208"/>
      <c r="I5" s="208"/>
    </row>
    <row r="6" spans="1:9" ht="19.5">
      <c r="A6" s="206" t="s">
        <v>211</v>
      </c>
      <c r="B6" s="206"/>
      <c r="C6" s="206"/>
      <c r="D6" s="206"/>
      <c r="E6" s="178">
        <v>125.6</v>
      </c>
      <c r="F6" s="200" t="s">
        <v>218</v>
      </c>
      <c r="G6" s="201"/>
      <c r="H6" s="201"/>
      <c r="I6" s="201"/>
    </row>
    <row r="7" spans="1:9" ht="19.5">
      <c r="A7" s="172" t="s">
        <v>212</v>
      </c>
      <c r="B7" s="172"/>
      <c r="C7" s="172"/>
      <c r="D7" s="176"/>
      <c r="E7" s="176">
        <v>75.5</v>
      </c>
      <c r="F7" s="202" t="s">
        <v>219</v>
      </c>
      <c r="G7" s="203"/>
      <c r="H7" s="203"/>
      <c r="I7" s="203"/>
    </row>
    <row r="8" spans="1:9" ht="21">
      <c r="A8" s="175" t="s">
        <v>210</v>
      </c>
      <c r="B8" s="175"/>
      <c r="C8" s="175"/>
      <c r="D8" s="174"/>
      <c r="E8" s="174">
        <f>(PI()/4)*E7*E7/100</f>
        <v>44.769658809063039</v>
      </c>
      <c r="F8" s="204"/>
      <c r="G8" s="205"/>
      <c r="H8" s="205"/>
      <c r="I8" s="205"/>
    </row>
    <row r="9" spans="1:9" ht="19.5">
      <c r="A9" s="199" t="s">
        <v>17</v>
      </c>
      <c r="B9" s="199"/>
      <c r="C9" s="199"/>
      <c r="D9" s="173">
        <v>1</v>
      </c>
      <c r="E9" s="173">
        <v>2</v>
      </c>
      <c r="F9" s="173">
        <v>3</v>
      </c>
      <c r="G9" s="173">
        <v>4</v>
      </c>
      <c r="H9" s="173">
        <v>5</v>
      </c>
      <c r="I9" s="173">
        <v>6</v>
      </c>
    </row>
    <row r="10" spans="1:9" ht="19.5">
      <c r="A10" s="57" t="s">
        <v>207</v>
      </c>
      <c r="B10" s="57"/>
      <c r="C10" s="57"/>
      <c r="D10" s="173">
        <v>685</v>
      </c>
      <c r="E10" s="173">
        <v>920</v>
      </c>
      <c r="F10" s="173">
        <v>650</v>
      </c>
      <c r="G10" s="173">
        <v>685</v>
      </c>
      <c r="H10" s="173">
        <v>725</v>
      </c>
      <c r="I10" s="173">
        <v>770</v>
      </c>
    </row>
    <row r="11" spans="1:9" ht="19.5">
      <c r="A11" s="199" t="s">
        <v>208</v>
      </c>
      <c r="B11" s="199"/>
      <c r="C11" s="199"/>
      <c r="D11" s="173">
        <v>60</v>
      </c>
      <c r="E11" s="173">
        <v>90</v>
      </c>
      <c r="F11" s="173">
        <v>60</v>
      </c>
      <c r="G11" s="173">
        <v>60</v>
      </c>
      <c r="H11" s="173">
        <v>60</v>
      </c>
      <c r="I11" s="173">
        <v>60</v>
      </c>
    </row>
    <row r="12" spans="1:9" ht="19.5">
      <c r="A12" s="199" t="s">
        <v>209</v>
      </c>
      <c r="B12" s="199"/>
      <c r="C12" s="199"/>
      <c r="D12" s="173">
        <v>55</v>
      </c>
      <c r="E12" s="173">
        <v>55</v>
      </c>
      <c r="F12" s="173">
        <v>60</v>
      </c>
      <c r="G12" s="173">
        <v>60</v>
      </c>
      <c r="H12" s="173">
        <v>70</v>
      </c>
      <c r="I12" s="173">
        <v>70</v>
      </c>
    </row>
    <row r="13" spans="1:9" ht="19.5">
      <c r="A13" s="177" t="s">
        <v>213</v>
      </c>
      <c r="B13" s="177"/>
      <c r="C13" s="177"/>
      <c r="D13" s="173">
        <v>26</v>
      </c>
      <c r="E13" s="173">
        <v>26</v>
      </c>
      <c r="F13" s="173">
        <v>26</v>
      </c>
      <c r="G13" s="173">
        <v>26</v>
      </c>
      <c r="H13" s="173">
        <v>26</v>
      </c>
      <c r="I13" s="173">
        <v>26</v>
      </c>
    </row>
    <row r="14" spans="1:9" ht="20.25">
      <c r="A14" s="199" t="s">
        <v>214</v>
      </c>
      <c r="B14" s="199"/>
      <c r="C14" s="199"/>
      <c r="D14" s="173">
        <f>(D10*$E$6/100)/(D12*$E$8*D11)</f>
        <v>5.8234786337565993E-3</v>
      </c>
      <c r="E14" s="173">
        <f>(E10*$E$6/100)/(E12*$E$8*E11)</f>
        <v>5.2142095796166143E-3</v>
      </c>
      <c r="F14" s="173">
        <f t="shared" ref="F14:I14" si="0">(F10*$E$6/100)/(F12*$E$8*F11)</f>
        <v>5.0654345780242922E-3</v>
      </c>
      <c r="G14" s="173">
        <f t="shared" si="0"/>
        <v>5.3381887476102157E-3</v>
      </c>
      <c r="H14" s="173">
        <f t="shared" si="0"/>
        <v>4.8427781130561919E-3</v>
      </c>
      <c r="I14" s="173">
        <f t="shared" si="0"/>
        <v>5.1433643407631279E-3</v>
      </c>
    </row>
    <row r="15" spans="1:9" ht="20.25">
      <c r="A15" s="199" t="s">
        <v>216</v>
      </c>
      <c r="B15" s="199"/>
      <c r="C15" s="199"/>
      <c r="D15" s="173">
        <v>0.86699999999999999</v>
      </c>
      <c r="E15" s="173">
        <v>0.86699999999999999</v>
      </c>
      <c r="F15" s="173">
        <v>0.86699999999999999</v>
      </c>
      <c r="G15" s="173">
        <v>0.86699999999999999</v>
      </c>
      <c r="H15" s="173">
        <v>0.86699999999999999</v>
      </c>
      <c r="I15" s="173">
        <v>0.86699999999999999</v>
      </c>
    </row>
    <row r="16" spans="1:9" ht="20.25">
      <c r="A16" s="209" t="s">
        <v>217</v>
      </c>
      <c r="B16" s="209"/>
      <c r="C16" s="209"/>
      <c r="D16" s="64">
        <f>D14*D15</f>
        <v>5.0489559754669719E-3</v>
      </c>
      <c r="E16" s="64">
        <f t="shared" ref="E16:I16" si="1">E14*E15</f>
        <v>4.5207197055276045E-3</v>
      </c>
      <c r="F16" s="64">
        <f t="shared" si="1"/>
        <v>4.3917317791470614E-3</v>
      </c>
      <c r="G16" s="64">
        <f t="shared" si="1"/>
        <v>4.6282096441780567E-3</v>
      </c>
      <c r="H16" s="64">
        <f t="shared" si="1"/>
        <v>4.1986886240197186E-3</v>
      </c>
      <c r="I16" s="64">
        <f t="shared" si="1"/>
        <v>4.4592968834416321E-3</v>
      </c>
    </row>
  </sheetData>
  <mergeCells count="15">
    <mergeCell ref="A15:C15"/>
    <mergeCell ref="A16:C16"/>
    <mergeCell ref="A14:C14"/>
    <mergeCell ref="A12:C12"/>
    <mergeCell ref="A11:C11"/>
    <mergeCell ref="A1:I1"/>
    <mergeCell ref="A2:I2"/>
    <mergeCell ref="A4:I4"/>
    <mergeCell ref="F3:I3"/>
    <mergeCell ref="B5:I5"/>
    <mergeCell ref="A9:C9"/>
    <mergeCell ref="F6:I6"/>
    <mergeCell ref="F7:I7"/>
    <mergeCell ref="F8:I8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>
      <selection sqref="A1:G22"/>
    </sheetView>
  </sheetViews>
  <sheetFormatPr defaultRowHeight="15"/>
  <cols>
    <col min="1" max="1" width="9.28515625" customWidth="1"/>
    <col min="3" max="3" width="10.42578125" bestFit="1" customWidth="1"/>
    <col min="5" max="5" width="10.140625" customWidth="1"/>
    <col min="6" max="7" width="12.28515625" bestFit="1" customWidth="1"/>
  </cols>
  <sheetData>
    <row r="1" spans="1:7" ht="19.5">
      <c r="A1" s="230" t="s">
        <v>36</v>
      </c>
      <c r="B1" s="230"/>
      <c r="C1" s="131" t="s">
        <v>52</v>
      </c>
      <c r="D1" s="131"/>
      <c r="E1" s="131"/>
      <c r="F1" s="5"/>
      <c r="G1" s="5"/>
    </row>
    <row r="2" spans="1:7" ht="19.5">
      <c r="A2" s="213" t="s">
        <v>13</v>
      </c>
      <c r="B2" s="213"/>
      <c r="C2" s="129" t="s">
        <v>56</v>
      </c>
      <c r="D2" s="129"/>
      <c r="E2" s="129"/>
      <c r="F2" s="1"/>
      <c r="G2" s="1"/>
    </row>
    <row r="3" spans="1:7" ht="19.5">
      <c r="A3" s="130" t="s">
        <v>34</v>
      </c>
      <c r="B3" s="130"/>
      <c r="C3" s="207" t="s">
        <v>37</v>
      </c>
      <c r="D3" s="207"/>
      <c r="E3" s="129"/>
      <c r="F3" s="1"/>
      <c r="G3" s="1"/>
    </row>
    <row r="4" spans="1:7" ht="19.5">
      <c r="A4" s="213" t="s">
        <v>11</v>
      </c>
      <c r="B4" s="213"/>
      <c r="C4" s="233">
        <v>37338</v>
      </c>
      <c r="D4" s="233"/>
      <c r="E4" s="129"/>
      <c r="F4" s="1"/>
      <c r="G4" s="1"/>
    </row>
    <row r="5" spans="1:7" ht="19.5">
      <c r="A5" s="213" t="s">
        <v>12</v>
      </c>
      <c r="B5" s="213"/>
      <c r="C5" s="207" t="s">
        <v>38</v>
      </c>
      <c r="D5" s="207"/>
      <c r="E5" s="207"/>
      <c r="F5" s="1"/>
      <c r="G5" s="1"/>
    </row>
    <row r="6" spans="1:7" ht="15.75">
      <c r="A6" s="199" t="s">
        <v>28</v>
      </c>
      <c r="B6" s="199"/>
      <c r="C6" s="1"/>
      <c r="D6" s="1"/>
      <c r="E6" s="1"/>
      <c r="F6" s="1"/>
      <c r="G6" s="1"/>
    </row>
    <row r="7" spans="1:7" ht="19.5">
      <c r="A7" s="130" t="s">
        <v>49</v>
      </c>
      <c r="B7" s="130"/>
      <c r="C7" s="130"/>
      <c r="D7" s="1"/>
      <c r="E7" s="10">
        <v>424.2</v>
      </c>
      <c r="F7" s="1"/>
      <c r="G7" s="1"/>
    </row>
    <row r="8" spans="1:7" ht="15.75">
      <c r="A8" s="130" t="s">
        <v>50</v>
      </c>
      <c r="B8" s="130"/>
      <c r="C8" s="130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 s="9" customFormat="1">
      <c r="A10" s="15" t="s">
        <v>39</v>
      </c>
      <c r="B10" s="15" t="s">
        <v>39</v>
      </c>
      <c r="C10" s="15" t="s">
        <v>39</v>
      </c>
      <c r="D10" s="15" t="s">
        <v>42</v>
      </c>
      <c r="E10" s="15" t="s">
        <v>44</v>
      </c>
      <c r="F10" s="15" t="s">
        <v>45</v>
      </c>
      <c r="G10" s="15" t="s">
        <v>45</v>
      </c>
    </row>
    <row r="11" spans="1:7" s="9" customFormat="1">
      <c r="A11" s="11" t="s">
        <v>54</v>
      </c>
      <c r="B11" s="11" t="s">
        <v>40</v>
      </c>
      <c r="C11" s="11" t="s">
        <v>41</v>
      </c>
      <c r="D11" s="11" t="s">
        <v>43</v>
      </c>
      <c r="E11" s="11" t="s">
        <v>43</v>
      </c>
      <c r="F11" s="11" t="s">
        <v>46</v>
      </c>
      <c r="G11" s="11" t="s">
        <v>47</v>
      </c>
    </row>
    <row r="12" spans="1:7">
      <c r="A12" s="16" t="s">
        <v>1</v>
      </c>
      <c r="B12" s="16" t="s">
        <v>2</v>
      </c>
      <c r="C12" s="16" t="s">
        <v>2</v>
      </c>
      <c r="D12" s="16" t="s">
        <v>2</v>
      </c>
      <c r="E12" s="16"/>
      <c r="F12" s="16"/>
      <c r="G12" s="16"/>
    </row>
    <row r="13" spans="1:7" ht="19.5">
      <c r="A13" s="128">
        <v>9.5</v>
      </c>
      <c r="B13" s="232" t="s">
        <v>55</v>
      </c>
      <c r="C13" s="232"/>
      <c r="D13" s="232"/>
      <c r="E13" s="128">
        <v>0</v>
      </c>
      <c r="F13" s="12">
        <v>0</v>
      </c>
      <c r="G13" s="12">
        <v>100</v>
      </c>
    </row>
    <row r="14" spans="1:7" ht="19.5">
      <c r="A14" s="128">
        <v>4.75</v>
      </c>
      <c r="B14" s="128">
        <v>532.6</v>
      </c>
      <c r="C14" s="128">
        <v>548.9</v>
      </c>
      <c r="D14" s="12">
        <f>C14-B14</f>
        <v>16.299999999999955</v>
      </c>
      <c r="E14" s="12">
        <f t="shared" ref="E14:E21" si="0">(D14/D$22)*100</f>
        <v>3.8525171354289665</v>
      </c>
      <c r="F14" s="12">
        <f>E14</f>
        <v>3.8525171354289665</v>
      </c>
      <c r="G14" s="12">
        <f>100-F14</f>
        <v>96.147482864571032</v>
      </c>
    </row>
    <row r="15" spans="1:7" ht="19.5">
      <c r="A15" s="128">
        <v>2.36</v>
      </c>
      <c r="B15" s="128">
        <v>452.9</v>
      </c>
      <c r="C15" s="128">
        <v>575.29999999999995</v>
      </c>
      <c r="D15" s="12">
        <f t="shared" ref="D15:D21" si="1">C15-B15</f>
        <v>122.39999999999998</v>
      </c>
      <c r="E15" s="12">
        <f t="shared" si="0"/>
        <v>28.929331127393056</v>
      </c>
      <c r="F15" s="12">
        <f>E15+E14</f>
        <v>32.781848262822024</v>
      </c>
      <c r="G15" s="12">
        <f t="shared" ref="G15:G20" si="2">100-F15</f>
        <v>67.218151737177976</v>
      </c>
    </row>
    <row r="16" spans="1:7" ht="19.5">
      <c r="A16" s="128">
        <v>1.18</v>
      </c>
      <c r="B16" s="128">
        <v>421.3</v>
      </c>
      <c r="C16" s="128">
        <v>537.1</v>
      </c>
      <c r="D16" s="12">
        <f t="shared" si="1"/>
        <v>115.80000000000001</v>
      </c>
      <c r="E16" s="12">
        <f t="shared" si="0"/>
        <v>27.369416213661079</v>
      </c>
      <c r="F16" s="12">
        <f>E16+F15</f>
        <v>60.151264476483107</v>
      </c>
      <c r="G16" s="12">
        <f t="shared" si="2"/>
        <v>39.848735523516893</v>
      </c>
    </row>
    <row r="17" spans="1:7" ht="19.5">
      <c r="A17" s="128">
        <v>0.6</v>
      </c>
      <c r="B17" s="128">
        <v>376.4</v>
      </c>
      <c r="C17" s="128">
        <v>434.5</v>
      </c>
      <c r="D17" s="12">
        <f t="shared" si="1"/>
        <v>58.100000000000023</v>
      </c>
      <c r="E17" s="12">
        <f t="shared" si="0"/>
        <v>13.731978255731514</v>
      </c>
      <c r="F17" s="12">
        <f t="shared" ref="F17:F21" si="3">E17+F16</f>
        <v>73.883242732214626</v>
      </c>
      <c r="G17" s="12">
        <f t="shared" si="2"/>
        <v>26.116757267785374</v>
      </c>
    </row>
    <row r="18" spans="1:7" ht="19.5">
      <c r="A18" s="128">
        <v>0.3</v>
      </c>
      <c r="B18" s="128">
        <v>389.5</v>
      </c>
      <c r="C18" s="128">
        <v>423.1</v>
      </c>
      <c r="D18" s="12">
        <f t="shared" si="1"/>
        <v>33.600000000000023</v>
      </c>
      <c r="E18" s="12">
        <f t="shared" si="0"/>
        <v>7.9413850153628047</v>
      </c>
      <c r="F18" s="12">
        <f t="shared" si="3"/>
        <v>81.824627747577438</v>
      </c>
      <c r="G18" s="12">
        <f t="shared" si="2"/>
        <v>18.175372252422562</v>
      </c>
    </row>
    <row r="19" spans="1:7" ht="19.5">
      <c r="A19" s="128">
        <v>0.15</v>
      </c>
      <c r="B19" s="128">
        <v>412.6</v>
      </c>
      <c r="C19" s="128">
        <v>423.4</v>
      </c>
      <c r="D19" s="12">
        <f t="shared" si="1"/>
        <v>10.799999999999955</v>
      </c>
      <c r="E19" s="12">
        <f t="shared" si="0"/>
        <v>2.5525880406523176</v>
      </c>
      <c r="F19" s="12">
        <f t="shared" si="3"/>
        <v>84.377215788229762</v>
      </c>
      <c r="G19" s="12">
        <f t="shared" si="2"/>
        <v>15.622784211770238</v>
      </c>
    </row>
    <row r="20" spans="1:7" ht="19.5">
      <c r="A20" s="128">
        <v>7.4999999999999997E-2</v>
      </c>
      <c r="B20" s="128">
        <v>304.8</v>
      </c>
      <c r="C20" s="128">
        <v>312.3</v>
      </c>
      <c r="D20" s="12">
        <f t="shared" si="1"/>
        <v>7.5</v>
      </c>
      <c r="E20" s="12">
        <f t="shared" si="0"/>
        <v>1.7726305837863394</v>
      </c>
      <c r="F20" s="12">
        <f t="shared" si="3"/>
        <v>86.1498463720161</v>
      </c>
      <c r="G20" s="12">
        <f t="shared" si="2"/>
        <v>13.8501536279839</v>
      </c>
    </row>
    <row r="21" spans="1:7" ht="19.5">
      <c r="A21" s="128" t="s">
        <v>48</v>
      </c>
      <c r="B21" s="128">
        <v>325.60000000000002</v>
      </c>
      <c r="C21" s="128">
        <v>384.2</v>
      </c>
      <c r="D21" s="12">
        <f t="shared" si="1"/>
        <v>58.599999999999966</v>
      </c>
      <c r="E21" s="12">
        <f t="shared" si="0"/>
        <v>13.850153627983925</v>
      </c>
      <c r="F21" s="12">
        <f t="shared" si="3"/>
        <v>100.00000000000003</v>
      </c>
      <c r="G21" s="12" t="s">
        <v>53</v>
      </c>
    </row>
    <row r="22" spans="1:7" ht="19.5">
      <c r="A22" s="231" t="s">
        <v>51</v>
      </c>
      <c r="B22" s="231"/>
      <c r="C22" s="231"/>
      <c r="D22" s="132">
        <f>SUM(D14:D21)</f>
        <v>423.09999999999991</v>
      </c>
      <c r="E22" s="37">
        <f>SUM(E14:E21)</f>
        <v>100.00000000000003</v>
      </c>
      <c r="F22" s="13"/>
      <c r="G22" s="13"/>
    </row>
  </sheetData>
  <mergeCells count="10">
    <mergeCell ref="A22:C22"/>
    <mergeCell ref="B13:D13"/>
    <mergeCell ref="A1:B1"/>
    <mergeCell ref="A2:B2"/>
    <mergeCell ref="A4:B4"/>
    <mergeCell ref="A5:B5"/>
    <mergeCell ref="A6:B6"/>
    <mergeCell ref="C5:E5"/>
    <mergeCell ref="C4:D4"/>
    <mergeCell ref="C3:D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6"/>
  <sheetViews>
    <sheetView showGridLines="0" workbookViewId="0">
      <selection activeCell="P29" sqref="P29"/>
    </sheetView>
  </sheetViews>
  <sheetFormatPr defaultRowHeight="14.25"/>
  <cols>
    <col min="1" max="1" width="14.42578125" style="17" bestFit="1" customWidth="1"/>
    <col min="2" max="2" width="9.85546875" style="17" bestFit="1" customWidth="1"/>
    <col min="3" max="3" width="9.28515625" style="17" bestFit="1" customWidth="1"/>
    <col min="4" max="4" width="5.85546875" style="17" customWidth="1"/>
    <col min="5" max="5" width="12" style="17" bestFit="1" customWidth="1"/>
    <col min="6" max="7" width="9.28515625" style="17" bestFit="1" customWidth="1"/>
    <col min="8" max="8" width="8.42578125" style="17" bestFit="1" customWidth="1"/>
    <col min="9" max="9" width="10.5703125" style="17" customWidth="1"/>
    <col min="10" max="10" width="9.42578125" style="17" customWidth="1"/>
    <col min="11" max="11" width="8.85546875" style="17" customWidth="1"/>
    <col min="12" max="16384" width="9.140625" style="17"/>
  </cols>
  <sheetData>
    <row r="1" spans="1:18" ht="18.75">
      <c r="A1" s="246" t="s">
        <v>86</v>
      </c>
      <c r="B1" s="246"/>
      <c r="C1" s="246"/>
      <c r="D1" s="246"/>
      <c r="E1" s="246"/>
      <c r="F1" s="147" t="s">
        <v>79</v>
      </c>
      <c r="G1" s="149">
        <v>1.38E-2</v>
      </c>
      <c r="H1" s="247" t="s">
        <v>75</v>
      </c>
      <c r="I1" s="247"/>
      <c r="J1" s="243">
        <v>46.3</v>
      </c>
      <c r="K1" s="243"/>
    </row>
    <row r="2" spans="1:18" ht="18.75">
      <c r="A2" s="239" t="s">
        <v>90</v>
      </c>
      <c r="B2" s="239"/>
      <c r="C2" s="239"/>
      <c r="D2" s="239"/>
      <c r="E2" s="239"/>
      <c r="F2" s="148" t="s">
        <v>347</v>
      </c>
      <c r="G2" s="150">
        <v>1</v>
      </c>
      <c r="H2" s="245" t="s">
        <v>83</v>
      </c>
      <c r="I2" s="245"/>
      <c r="J2" s="244">
        <v>58.6</v>
      </c>
      <c r="K2" s="244"/>
    </row>
    <row r="3" spans="1:18" ht="18.75">
      <c r="A3" s="239" t="s">
        <v>85</v>
      </c>
      <c r="B3" s="239"/>
      <c r="C3" s="239"/>
      <c r="D3" s="239"/>
      <c r="E3" s="239"/>
      <c r="F3" s="148" t="s">
        <v>348</v>
      </c>
      <c r="G3" s="150">
        <v>0.4</v>
      </c>
      <c r="H3" s="245" t="s">
        <v>84</v>
      </c>
      <c r="I3" s="245"/>
      <c r="J3" s="244">
        <v>424.2</v>
      </c>
      <c r="K3" s="244"/>
    </row>
    <row r="4" spans="1:18" ht="18.75">
      <c r="A4" s="239" t="s">
        <v>87</v>
      </c>
      <c r="B4" s="239"/>
      <c r="C4" s="239"/>
      <c r="D4" s="239"/>
      <c r="E4" s="239"/>
      <c r="F4" s="148" t="s">
        <v>349</v>
      </c>
      <c r="G4" s="150">
        <v>3</v>
      </c>
      <c r="H4" s="245"/>
      <c r="I4" s="245"/>
      <c r="J4" s="245"/>
      <c r="K4" s="245"/>
      <c r="N4" s="240" t="s">
        <v>87</v>
      </c>
      <c r="O4" s="241"/>
      <c r="P4" s="241"/>
      <c r="Q4" s="241"/>
      <c r="R4" s="242"/>
    </row>
    <row r="5" spans="1:18" ht="16.5">
      <c r="A5" s="239" t="s">
        <v>88</v>
      </c>
      <c r="B5" s="239"/>
      <c r="C5" s="239"/>
      <c r="D5" s="239"/>
      <c r="E5" s="239"/>
      <c r="F5" s="19" t="s">
        <v>78</v>
      </c>
      <c r="G5" s="22"/>
      <c r="H5" s="19"/>
      <c r="I5" s="19"/>
      <c r="J5" s="19"/>
      <c r="K5" s="19"/>
    </row>
    <row r="6" spans="1:18" ht="18.75">
      <c r="A6" s="133" t="s">
        <v>76</v>
      </c>
      <c r="B6" s="150">
        <v>2.65</v>
      </c>
      <c r="C6" s="151" t="s">
        <v>77</v>
      </c>
      <c r="D6" s="237">
        <f>0.6226*B6/(B6-1)</f>
        <v>0.99993333333333345</v>
      </c>
      <c r="E6" s="237" t="e">
        <f>0.6226*#REF!/(#REF!-1)</f>
        <v>#REF!</v>
      </c>
      <c r="F6" s="19"/>
      <c r="G6" s="22"/>
      <c r="H6" s="19"/>
      <c r="I6" s="19"/>
      <c r="J6" s="19"/>
      <c r="K6" s="19"/>
    </row>
    <row r="7" spans="1:18" ht="16.5" customHeight="1">
      <c r="A7" s="238" t="s">
        <v>89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</row>
    <row r="8" spans="1:18" ht="14.25" customHeight="1">
      <c r="A8" s="144"/>
      <c r="B8" s="144"/>
      <c r="C8" s="144"/>
      <c r="D8" s="234" t="s">
        <v>74</v>
      </c>
      <c r="E8" s="144"/>
      <c r="F8" s="234" t="s">
        <v>73</v>
      </c>
      <c r="G8" s="234" t="s">
        <v>72</v>
      </c>
      <c r="H8" s="145"/>
      <c r="I8" s="144"/>
      <c r="J8" s="144"/>
      <c r="K8" s="144"/>
    </row>
    <row r="9" spans="1:18" ht="18.75">
      <c r="A9" s="19"/>
      <c r="B9" s="133" t="s">
        <v>71</v>
      </c>
      <c r="C9" s="133" t="s">
        <v>70</v>
      </c>
      <c r="D9" s="235"/>
      <c r="E9" s="133" t="s">
        <v>69</v>
      </c>
      <c r="F9" s="235"/>
      <c r="G9" s="235"/>
      <c r="H9" s="133" t="s">
        <v>68</v>
      </c>
      <c r="I9" s="133" t="s">
        <v>67</v>
      </c>
      <c r="J9" s="160" t="s">
        <v>61</v>
      </c>
      <c r="K9" s="160" t="s">
        <v>61</v>
      </c>
    </row>
    <row r="10" spans="1:18">
      <c r="A10" s="19" t="s">
        <v>66</v>
      </c>
      <c r="B10" s="133" t="s">
        <v>65</v>
      </c>
      <c r="C10" s="133" t="s">
        <v>64</v>
      </c>
      <c r="D10" s="235"/>
      <c r="E10" s="133" t="s">
        <v>63</v>
      </c>
      <c r="F10" s="235"/>
      <c r="G10" s="235"/>
      <c r="H10" s="133" t="s">
        <v>62</v>
      </c>
      <c r="I10" s="133" t="s">
        <v>1</v>
      </c>
      <c r="J10" s="160"/>
      <c r="K10" s="160"/>
    </row>
    <row r="11" spans="1:18" ht="18.75">
      <c r="A11" s="19"/>
      <c r="B11" s="133" t="s">
        <v>60</v>
      </c>
      <c r="C11" s="133" t="s">
        <v>59</v>
      </c>
      <c r="D11" s="235"/>
      <c r="E11" s="133" t="s">
        <v>58</v>
      </c>
      <c r="F11" s="235"/>
      <c r="G11" s="235"/>
      <c r="H11" s="133" t="s">
        <v>57</v>
      </c>
      <c r="I11" s="19"/>
      <c r="J11" s="160" t="s">
        <v>80</v>
      </c>
      <c r="K11" s="160" t="s">
        <v>82</v>
      </c>
    </row>
    <row r="12" spans="1:18">
      <c r="A12" s="18"/>
      <c r="B12" s="18"/>
      <c r="C12" s="18"/>
      <c r="D12" s="236"/>
      <c r="E12" s="18"/>
      <c r="F12" s="236"/>
      <c r="G12" s="236"/>
      <c r="H12" s="146" t="s">
        <v>350</v>
      </c>
      <c r="I12" s="18"/>
      <c r="J12" s="146" t="s">
        <v>81</v>
      </c>
      <c r="K12" s="146" t="s">
        <v>81</v>
      </c>
    </row>
    <row r="13" spans="1:18" ht="16.5">
      <c r="A13" s="140">
        <v>40312</v>
      </c>
      <c r="B13" s="23">
        <v>0.37152777777777773</v>
      </c>
      <c r="C13" s="21">
        <v>0.5</v>
      </c>
      <c r="D13" s="22">
        <v>22</v>
      </c>
      <c r="E13" s="21">
        <v>46.5</v>
      </c>
      <c r="F13" s="21">
        <f t="shared" ref="F13:F26" si="0">E13+$G$2</f>
        <v>47.5</v>
      </c>
      <c r="G13" s="21">
        <f t="shared" ref="G13:G26" si="1">F13+$G$3-$G$4</f>
        <v>44.9</v>
      </c>
      <c r="H13" s="20">
        <f t="shared" ref="H13:H26" si="2">16.3-0.1641*F13</f>
        <v>8.5052500000000002</v>
      </c>
      <c r="I13" s="27">
        <f>$G$1*SQRT(H13/C13)</f>
        <v>5.6916426627117059E-2</v>
      </c>
      <c r="J13" s="20">
        <f>(G13*$D$6/$J$1)*100</f>
        <v>96.96977681785458</v>
      </c>
      <c r="K13" s="141">
        <f>J13*$J$2/$J$3</f>
        <v>13.395636307228381</v>
      </c>
      <c r="M13" s="26"/>
    </row>
    <row r="14" spans="1:18" ht="16.5">
      <c r="A14" s="22"/>
      <c r="B14" s="23">
        <v>0.37222222222222223</v>
      </c>
      <c r="C14" s="21">
        <v>1</v>
      </c>
      <c r="D14" s="22">
        <v>22</v>
      </c>
      <c r="E14" s="21">
        <v>46</v>
      </c>
      <c r="F14" s="21">
        <f t="shared" si="0"/>
        <v>47</v>
      </c>
      <c r="G14" s="21">
        <f t="shared" si="1"/>
        <v>44.4</v>
      </c>
      <c r="H14" s="20">
        <f t="shared" si="2"/>
        <v>8.5873000000000008</v>
      </c>
      <c r="I14" s="27">
        <f t="shared" ref="I14:I26" si="3">$G$1*SQRT(H14/C14)</f>
        <v>4.0439651482177742E-2</v>
      </c>
      <c r="J14" s="20">
        <f t="shared" ref="J14:J26" si="4">(G14*$D$6/$J$1)*100</f>
        <v>95.88993520518359</v>
      </c>
      <c r="K14" s="141">
        <f t="shared" ref="K14:K26" si="5">J14*$J$2/$J$3</f>
        <v>13.24646441071136</v>
      </c>
      <c r="M14" s="26"/>
    </row>
    <row r="15" spans="1:18" ht="16.5">
      <c r="A15" s="22"/>
      <c r="B15" s="23">
        <v>0.37291666666666662</v>
      </c>
      <c r="C15" s="21">
        <v>2</v>
      </c>
      <c r="D15" s="22">
        <v>22</v>
      </c>
      <c r="E15" s="21">
        <v>44.5</v>
      </c>
      <c r="F15" s="21">
        <f t="shared" si="0"/>
        <v>45.5</v>
      </c>
      <c r="G15" s="21">
        <f t="shared" si="1"/>
        <v>42.9</v>
      </c>
      <c r="H15" s="20">
        <f t="shared" si="2"/>
        <v>8.8334500000000009</v>
      </c>
      <c r="I15" s="27">
        <f t="shared" si="3"/>
        <v>2.9002088011038103E-2</v>
      </c>
      <c r="J15" s="20">
        <f t="shared" si="4"/>
        <v>92.650410367170636</v>
      </c>
      <c r="K15" s="141">
        <f t="shared" si="5"/>
        <v>12.798948721160301</v>
      </c>
      <c r="M15" s="26"/>
    </row>
    <row r="16" spans="1:18" ht="16.5">
      <c r="A16" s="22"/>
      <c r="B16" s="23">
        <v>0.3743055555555555</v>
      </c>
      <c r="C16" s="21">
        <v>4</v>
      </c>
      <c r="D16" s="22">
        <v>22</v>
      </c>
      <c r="E16" s="21">
        <v>43</v>
      </c>
      <c r="F16" s="21">
        <f t="shared" si="0"/>
        <v>44</v>
      </c>
      <c r="G16" s="21">
        <f t="shared" si="1"/>
        <v>41.4</v>
      </c>
      <c r="H16" s="20">
        <f t="shared" si="2"/>
        <v>9.079600000000001</v>
      </c>
      <c r="I16" s="27">
        <f t="shared" si="3"/>
        <v>2.0791338485051897E-2</v>
      </c>
      <c r="J16" s="20">
        <f t="shared" si="4"/>
        <v>89.410885529157682</v>
      </c>
      <c r="K16" s="141">
        <f t="shared" si="5"/>
        <v>12.351433031609242</v>
      </c>
      <c r="M16" s="26"/>
    </row>
    <row r="17" spans="1:13" ht="16.5">
      <c r="A17" s="22"/>
      <c r="B17" s="23">
        <v>0.37708333333333338</v>
      </c>
      <c r="C17" s="21">
        <v>8</v>
      </c>
      <c r="D17" s="22">
        <v>22</v>
      </c>
      <c r="E17" s="21">
        <v>40</v>
      </c>
      <c r="F17" s="21">
        <f t="shared" si="0"/>
        <v>41</v>
      </c>
      <c r="G17" s="21">
        <f t="shared" si="1"/>
        <v>38.4</v>
      </c>
      <c r="H17" s="20">
        <f t="shared" si="2"/>
        <v>9.5719000000000012</v>
      </c>
      <c r="I17" s="27">
        <f t="shared" si="3"/>
        <v>1.5095001805233415E-2</v>
      </c>
      <c r="J17" s="20">
        <f t="shared" si="4"/>
        <v>82.931835853131759</v>
      </c>
      <c r="K17" s="141">
        <f t="shared" si="5"/>
        <v>11.456401652507124</v>
      </c>
      <c r="M17" s="26"/>
    </row>
    <row r="18" spans="1:13" ht="16.5">
      <c r="A18" s="22"/>
      <c r="B18" s="23">
        <v>0.38194444444444442</v>
      </c>
      <c r="C18" s="21">
        <v>15</v>
      </c>
      <c r="D18" s="22">
        <v>22</v>
      </c>
      <c r="E18" s="21">
        <v>37.5</v>
      </c>
      <c r="F18" s="21">
        <f t="shared" si="0"/>
        <v>38.5</v>
      </c>
      <c r="G18" s="21">
        <f t="shared" si="1"/>
        <v>35.9</v>
      </c>
      <c r="H18" s="20">
        <f t="shared" si="2"/>
        <v>9.9821500000000007</v>
      </c>
      <c r="I18" s="27">
        <f t="shared" si="3"/>
        <v>1.1257591944994275E-2</v>
      </c>
      <c r="J18" s="20">
        <f t="shared" si="4"/>
        <v>77.532627789776825</v>
      </c>
      <c r="K18" s="141">
        <f t="shared" si="5"/>
        <v>10.710542169922023</v>
      </c>
      <c r="M18" s="26"/>
    </row>
    <row r="19" spans="1:13" ht="16.5">
      <c r="A19" s="22"/>
      <c r="B19" s="23">
        <v>0.3923611111111111</v>
      </c>
      <c r="C19" s="21">
        <v>30</v>
      </c>
      <c r="D19" s="22">
        <v>22</v>
      </c>
      <c r="E19" s="21">
        <v>34.5</v>
      </c>
      <c r="F19" s="21">
        <f t="shared" si="0"/>
        <v>35.5</v>
      </c>
      <c r="G19" s="21">
        <f t="shared" si="1"/>
        <v>32.9</v>
      </c>
      <c r="H19" s="20">
        <f t="shared" si="2"/>
        <v>10.474450000000001</v>
      </c>
      <c r="I19" s="27">
        <f t="shared" si="3"/>
        <v>8.1542509527239831E-3</v>
      </c>
      <c r="J19" s="20">
        <f t="shared" si="4"/>
        <v>71.053578113750902</v>
      </c>
      <c r="K19" s="141">
        <f t="shared" si="5"/>
        <v>9.8155107908199035</v>
      </c>
      <c r="L19" s="24"/>
      <c r="M19" s="26"/>
    </row>
    <row r="20" spans="1:13" ht="16.5">
      <c r="A20" s="22"/>
      <c r="B20" s="23">
        <v>0.41319444444444442</v>
      </c>
      <c r="C20" s="21">
        <v>60</v>
      </c>
      <c r="D20" s="22">
        <v>22</v>
      </c>
      <c r="E20" s="21">
        <v>31.5</v>
      </c>
      <c r="F20" s="21">
        <f t="shared" si="0"/>
        <v>32.5</v>
      </c>
      <c r="G20" s="21">
        <f t="shared" si="1"/>
        <v>29.9</v>
      </c>
      <c r="H20" s="20">
        <f t="shared" si="2"/>
        <v>10.966750000000001</v>
      </c>
      <c r="I20" s="27">
        <f t="shared" si="3"/>
        <v>5.899869871446319E-3</v>
      </c>
      <c r="J20" s="20">
        <f>(G20*$D$6/$J$1)*100</f>
        <v>64.574528437724993</v>
      </c>
      <c r="K20" s="141">
        <f t="shared" si="5"/>
        <v>8.9204794117177855</v>
      </c>
      <c r="M20" s="26"/>
    </row>
    <row r="21" spans="1:13" ht="16.5">
      <c r="A21" s="22"/>
      <c r="B21" s="23">
        <v>0.4548611111111111</v>
      </c>
      <c r="C21" s="21">
        <v>120</v>
      </c>
      <c r="D21" s="22">
        <v>22</v>
      </c>
      <c r="E21" s="21">
        <v>28</v>
      </c>
      <c r="F21" s="21">
        <f t="shared" si="0"/>
        <v>29</v>
      </c>
      <c r="G21" s="21">
        <f t="shared" si="1"/>
        <v>26.4</v>
      </c>
      <c r="H21" s="20">
        <f t="shared" si="2"/>
        <v>11.5411</v>
      </c>
      <c r="I21" s="27">
        <f t="shared" si="3"/>
        <v>4.2796875703723985E-3</v>
      </c>
      <c r="J21" s="20">
        <f t="shared" si="4"/>
        <v>57.015637149028088</v>
      </c>
      <c r="K21" s="141">
        <f t="shared" si="5"/>
        <v>7.8762761360986477</v>
      </c>
      <c r="M21" s="26"/>
    </row>
    <row r="22" spans="1:13" ht="16.5">
      <c r="A22" s="22"/>
      <c r="B22" s="23">
        <v>0.53819444444444442</v>
      </c>
      <c r="C22" s="21">
        <v>240</v>
      </c>
      <c r="D22" s="22">
        <v>22</v>
      </c>
      <c r="E22" s="21">
        <v>25</v>
      </c>
      <c r="F22" s="21">
        <f t="shared" si="0"/>
        <v>26</v>
      </c>
      <c r="G22" s="21">
        <f t="shared" si="1"/>
        <v>23.4</v>
      </c>
      <c r="H22" s="20">
        <f t="shared" si="2"/>
        <v>12.0334</v>
      </c>
      <c r="I22" s="27">
        <f t="shared" si="3"/>
        <v>3.0900651934870241E-3</v>
      </c>
      <c r="J22" s="20">
        <f t="shared" si="4"/>
        <v>50.536587473002157</v>
      </c>
      <c r="K22" s="141">
        <f t="shared" si="5"/>
        <v>6.9812447569965261</v>
      </c>
      <c r="M22" s="26"/>
    </row>
    <row r="23" spans="1:13" ht="16.5">
      <c r="A23" s="22"/>
      <c r="B23" s="23">
        <v>0.70486111111111116</v>
      </c>
      <c r="C23" s="21">
        <v>480</v>
      </c>
      <c r="D23" s="22">
        <v>22</v>
      </c>
      <c r="E23" s="21">
        <v>22.5</v>
      </c>
      <c r="F23" s="21">
        <f t="shared" si="0"/>
        <v>23.5</v>
      </c>
      <c r="G23" s="21">
        <f t="shared" si="1"/>
        <v>20.9</v>
      </c>
      <c r="H23" s="20">
        <f t="shared" si="2"/>
        <v>12.443650000000002</v>
      </c>
      <c r="I23" s="27">
        <f t="shared" si="3"/>
        <v>2.22194017414961E-3</v>
      </c>
      <c r="J23" s="20">
        <f t="shared" si="4"/>
        <v>45.137379409647238</v>
      </c>
      <c r="K23" s="141">
        <f t="shared" si="5"/>
        <v>6.2353852744114286</v>
      </c>
      <c r="M23" s="26"/>
    </row>
    <row r="24" spans="1:13" ht="16.5">
      <c r="A24" s="140">
        <v>40313</v>
      </c>
      <c r="B24" s="23">
        <v>0.37152777777777773</v>
      </c>
      <c r="C24" s="21">
        <v>1440</v>
      </c>
      <c r="D24" s="22">
        <v>22</v>
      </c>
      <c r="E24" s="21">
        <v>19</v>
      </c>
      <c r="F24" s="21">
        <f t="shared" si="0"/>
        <v>20</v>
      </c>
      <c r="G24" s="21">
        <f t="shared" si="1"/>
        <v>17.399999999999999</v>
      </c>
      <c r="H24" s="20">
        <f t="shared" si="2"/>
        <v>13.018000000000001</v>
      </c>
      <c r="I24" s="27">
        <f t="shared" si="3"/>
        <v>1.3121091799084405E-3</v>
      </c>
      <c r="J24" s="20">
        <f t="shared" si="4"/>
        <v>37.578488120950325</v>
      </c>
      <c r="K24" s="141">
        <f t="shared" si="5"/>
        <v>5.19118199879229</v>
      </c>
      <c r="M24" s="26"/>
    </row>
    <row r="25" spans="1:13" ht="16.5">
      <c r="A25" s="22"/>
      <c r="B25" s="23">
        <v>0.70486111111111116</v>
      </c>
      <c r="C25" s="21">
        <v>1920</v>
      </c>
      <c r="D25" s="22">
        <v>22</v>
      </c>
      <c r="E25" s="21">
        <v>18</v>
      </c>
      <c r="F25" s="21">
        <f t="shared" si="0"/>
        <v>19</v>
      </c>
      <c r="G25" s="21">
        <f t="shared" si="1"/>
        <v>16.399999999999999</v>
      </c>
      <c r="H25" s="20">
        <f t="shared" si="2"/>
        <v>13.1821</v>
      </c>
      <c r="I25" s="27">
        <f t="shared" si="3"/>
        <v>1.1434594630987142E-3</v>
      </c>
      <c r="J25" s="20">
        <f t="shared" si="4"/>
        <v>35.418804895608361</v>
      </c>
      <c r="K25" s="141">
        <f t="shared" si="5"/>
        <v>4.8928382057582507</v>
      </c>
      <c r="M25" s="26"/>
    </row>
    <row r="26" spans="1:13" ht="16.5">
      <c r="A26" s="142">
        <v>40314</v>
      </c>
      <c r="B26" s="28">
        <v>0.37152777777777773</v>
      </c>
      <c r="C26" s="29">
        <v>2880</v>
      </c>
      <c r="D26" s="25">
        <v>22</v>
      </c>
      <c r="E26" s="29">
        <v>17</v>
      </c>
      <c r="F26" s="29">
        <f t="shared" si="0"/>
        <v>18</v>
      </c>
      <c r="G26" s="29">
        <f t="shared" si="1"/>
        <v>15.399999999999999</v>
      </c>
      <c r="H26" s="30">
        <f t="shared" si="2"/>
        <v>13.346200000000001</v>
      </c>
      <c r="I26" s="31">
        <f t="shared" si="3"/>
        <v>9.3942401236076563E-4</v>
      </c>
      <c r="J26" s="30">
        <f t="shared" si="4"/>
        <v>33.259121670266381</v>
      </c>
      <c r="K26" s="143">
        <f t="shared" si="5"/>
        <v>4.5944944127242104</v>
      </c>
      <c r="M26" s="26"/>
    </row>
  </sheetData>
  <mergeCells count="18">
    <mergeCell ref="N4:R4"/>
    <mergeCell ref="J1:K1"/>
    <mergeCell ref="J2:K2"/>
    <mergeCell ref="J3:K3"/>
    <mergeCell ref="A5:E5"/>
    <mergeCell ref="H4:K4"/>
    <mergeCell ref="A2:E2"/>
    <mergeCell ref="A3:E3"/>
    <mergeCell ref="A1:E1"/>
    <mergeCell ref="H1:I1"/>
    <mergeCell ref="H2:I2"/>
    <mergeCell ref="H3:I3"/>
    <mergeCell ref="D8:D12"/>
    <mergeCell ref="D6:E6"/>
    <mergeCell ref="A7:K7"/>
    <mergeCell ref="A4:E4"/>
    <mergeCell ref="F8:F12"/>
    <mergeCell ref="G8:G12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6"/>
  <sheetViews>
    <sheetView showGridLines="0" workbookViewId="0">
      <selection sqref="A1:I15"/>
    </sheetView>
  </sheetViews>
  <sheetFormatPr defaultRowHeight="15"/>
  <cols>
    <col min="1" max="11" width="9.140625" style="9"/>
    <col min="12" max="13" width="3.85546875" style="9" bestFit="1" customWidth="1"/>
    <col min="14" max="14" width="4.28515625" style="9" customWidth="1"/>
    <col min="15" max="16" width="3.85546875" style="9" bestFit="1" customWidth="1"/>
    <col min="17" max="17" width="3" style="9" customWidth="1"/>
    <col min="18" max="19" width="3.85546875" style="9" bestFit="1" customWidth="1"/>
    <col min="20" max="20" width="4.7109375" style="9" customWidth="1"/>
    <col min="21" max="22" width="3.85546875" style="9" bestFit="1" customWidth="1"/>
    <col min="23" max="23" width="4.85546875" style="9" customWidth="1"/>
    <col min="24" max="25" width="3.85546875" style="9" bestFit="1" customWidth="1"/>
    <col min="26" max="26" width="4" style="9" customWidth="1"/>
    <col min="27" max="28" width="3.85546875" style="9" bestFit="1" customWidth="1"/>
    <col min="29" max="29" width="4.42578125" style="9" customWidth="1"/>
    <col min="30" max="31" width="3.85546875" style="9" bestFit="1" customWidth="1"/>
    <col min="32" max="32" width="3.5703125" style="9" customWidth="1"/>
    <col min="33" max="34" width="3.85546875" style="9" bestFit="1" customWidth="1"/>
    <col min="35" max="35" width="3.42578125" style="9" customWidth="1"/>
    <col min="36" max="37" width="3.85546875" style="9" bestFit="1" customWidth="1"/>
    <col min="38" max="16384" width="9.140625" style="9"/>
  </cols>
  <sheetData>
    <row r="1" spans="1:37" ht="19.5">
      <c r="A1" s="206" t="s">
        <v>144</v>
      </c>
      <c r="B1" s="206"/>
      <c r="C1" s="206"/>
      <c r="D1" s="206"/>
      <c r="E1" s="206"/>
      <c r="F1" s="206"/>
      <c r="G1" s="206"/>
      <c r="H1" s="206"/>
      <c r="I1" s="206"/>
    </row>
    <row r="2" spans="1:37" ht="19.5">
      <c r="A2" s="213" t="s">
        <v>13</v>
      </c>
      <c r="B2" s="213"/>
      <c r="C2" s="207" t="s">
        <v>15</v>
      </c>
      <c r="D2" s="207"/>
      <c r="E2" s="207"/>
      <c r="F2" s="207"/>
      <c r="G2" s="207"/>
      <c r="H2" s="207"/>
      <c r="I2" s="207"/>
    </row>
    <row r="3" spans="1:37" ht="19.5">
      <c r="A3" s="154" t="s">
        <v>34</v>
      </c>
      <c r="B3" s="154"/>
      <c r="C3" s="207" t="s">
        <v>35</v>
      </c>
      <c r="D3" s="207"/>
      <c r="E3" s="207"/>
      <c r="F3" s="207"/>
      <c r="G3" s="207"/>
      <c r="H3" s="207"/>
      <c r="I3" s="207"/>
    </row>
    <row r="4" spans="1:37" ht="19.5">
      <c r="A4" s="213" t="s">
        <v>11</v>
      </c>
      <c r="B4" s="213"/>
      <c r="C4" s="220">
        <v>38423</v>
      </c>
      <c r="D4" s="220"/>
      <c r="E4" s="220"/>
      <c r="F4" s="220"/>
      <c r="G4" s="220"/>
      <c r="H4" s="220"/>
      <c r="I4" s="220"/>
    </row>
    <row r="5" spans="1:37" ht="19.5">
      <c r="A5" s="213" t="s">
        <v>12</v>
      </c>
      <c r="B5" s="213"/>
      <c r="C5" s="207" t="s">
        <v>16</v>
      </c>
      <c r="D5" s="207"/>
      <c r="E5" s="207"/>
      <c r="F5" s="207"/>
      <c r="G5" s="207"/>
      <c r="H5" s="207"/>
      <c r="I5" s="207"/>
    </row>
    <row r="6" spans="1:37" ht="19.5">
      <c r="A6" s="209" t="s">
        <v>28</v>
      </c>
      <c r="B6" s="209"/>
      <c r="C6" s="208"/>
      <c r="D6" s="208"/>
      <c r="E6" s="208"/>
      <c r="F6" s="208"/>
      <c r="G6" s="208"/>
      <c r="H6" s="208"/>
      <c r="I6" s="208"/>
    </row>
    <row r="7" spans="1:37">
      <c r="A7" s="199" t="s">
        <v>140</v>
      </c>
      <c r="B7" s="199"/>
      <c r="C7" s="199"/>
      <c r="D7" s="199"/>
      <c r="E7" s="11">
        <v>1</v>
      </c>
      <c r="F7" s="11">
        <v>2</v>
      </c>
      <c r="G7" s="11">
        <v>3</v>
      </c>
      <c r="H7" s="11">
        <v>4</v>
      </c>
      <c r="I7" s="11">
        <v>5</v>
      </c>
      <c r="L7" s="9">
        <v>10</v>
      </c>
      <c r="M7" s="9">
        <v>0</v>
      </c>
      <c r="O7" s="9">
        <v>11</v>
      </c>
      <c r="P7" s="9">
        <v>0</v>
      </c>
      <c r="R7" s="9">
        <v>16</v>
      </c>
      <c r="S7" s="9">
        <v>0</v>
      </c>
      <c r="U7" s="9">
        <v>21</v>
      </c>
      <c r="V7" s="9">
        <v>0</v>
      </c>
      <c r="X7" s="9">
        <v>26</v>
      </c>
      <c r="Y7" s="9">
        <v>0</v>
      </c>
      <c r="AA7" s="9">
        <v>31</v>
      </c>
      <c r="AB7" s="9">
        <v>0</v>
      </c>
      <c r="AD7" s="9">
        <v>36</v>
      </c>
      <c r="AE7" s="9">
        <v>0</v>
      </c>
      <c r="AG7" s="9">
        <v>41</v>
      </c>
      <c r="AH7" s="9">
        <v>0</v>
      </c>
      <c r="AJ7" s="9">
        <v>46</v>
      </c>
      <c r="AK7" s="9">
        <v>0</v>
      </c>
    </row>
    <row r="8" spans="1:37" ht="19.5">
      <c r="A8" s="199" t="s">
        <v>133</v>
      </c>
      <c r="B8" s="199"/>
      <c r="C8" s="199"/>
      <c r="D8" s="199"/>
      <c r="E8" s="153" t="s">
        <v>10</v>
      </c>
      <c r="F8" s="153" t="s">
        <v>125</v>
      </c>
      <c r="G8" s="153" t="s">
        <v>141</v>
      </c>
      <c r="H8" s="153" t="s">
        <v>142</v>
      </c>
      <c r="I8" s="153"/>
      <c r="L8" s="9">
        <v>10</v>
      </c>
      <c r="M8" s="9">
        <v>70</v>
      </c>
      <c r="O8" s="9">
        <v>11</v>
      </c>
      <c r="P8" s="9">
        <v>70</v>
      </c>
      <c r="R8" s="9">
        <v>16</v>
      </c>
      <c r="S8" s="9">
        <v>70</v>
      </c>
      <c r="U8" s="9">
        <v>21</v>
      </c>
      <c r="V8" s="9">
        <v>70</v>
      </c>
      <c r="X8" s="9">
        <v>26</v>
      </c>
      <c r="Y8" s="9">
        <v>70</v>
      </c>
      <c r="AA8" s="9">
        <v>31</v>
      </c>
      <c r="AB8" s="9">
        <v>70</v>
      </c>
      <c r="AD8" s="9">
        <v>36</v>
      </c>
      <c r="AE8" s="9">
        <v>70</v>
      </c>
      <c r="AG8" s="9">
        <v>41</v>
      </c>
      <c r="AH8" s="9">
        <v>70</v>
      </c>
      <c r="AJ8" s="9">
        <v>46</v>
      </c>
      <c r="AK8" s="9">
        <v>70</v>
      </c>
    </row>
    <row r="9" spans="1:37" ht="19.5">
      <c r="A9" s="199" t="s">
        <v>134</v>
      </c>
      <c r="B9" s="199"/>
      <c r="C9" s="199"/>
      <c r="D9" s="199"/>
      <c r="E9" s="153">
        <v>9.1199999999999992</v>
      </c>
      <c r="F9" s="153">
        <v>8.23</v>
      </c>
      <c r="G9" s="153">
        <v>8.65</v>
      </c>
      <c r="H9" s="153">
        <v>9.34</v>
      </c>
      <c r="I9" s="153"/>
      <c r="L9" s="9">
        <v>20</v>
      </c>
      <c r="M9" s="9">
        <v>0</v>
      </c>
      <c r="O9" s="9">
        <v>12</v>
      </c>
      <c r="P9" s="9">
        <v>0</v>
      </c>
      <c r="R9" s="9">
        <v>17</v>
      </c>
      <c r="S9" s="9">
        <v>0</v>
      </c>
      <c r="U9" s="9">
        <v>22</v>
      </c>
      <c r="V9" s="9">
        <v>0</v>
      </c>
      <c r="X9" s="9">
        <v>27</v>
      </c>
      <c r="Y9" s="9">
        <v>0</v>
      </c>
      <c r="AA9" s="9">
        <v>32</v>
      </c>
      <c r="AB9" s="9">
        <v>0</v>
      </c>
      <c r="AD9" s="9">
        <v>37</v>
      </c>
      <c r="AE9" s="9">
        <v>0</v>
      </c>
      <c r="AG9" s="9">
        <v>42</v>
      </c>
      <c r="AH9" s="9">
        <v>0</v>
      </c>
      <c r="AJ9" s="9">
        <v>47</v>
      </c>
      <c r="AK9" s="9">
        <v>0</v>
      </c>
    </row>
    <row r="10" spans="1:37" ht="19.5">
      <c r="A10" s="199" t="s">
        <v>135</v>
      </c>
      <c r="B10" s="199"/>
      <c r="C10" s="199"/>
      <c r="D10" s="199"/>
      <c r="E10" s="153">
        <v>24.31</v>
      </c>
      <c r="F10" s="153">
        <v>20.84</v>
      </c>
      <c r="G10" s="153">
        <v>24.12</v>
      </c>
      <c r="H10" s="153">
        <v>22.53</v>
      </c>
      <c r="I10" s="153"/>
      <c r="L10" s="9">
        <v>20</v>
      </c>
      <c r="M10" s="9">
        <v>70</v>
      </c>
      <c r="O10" s="9">
        <v>12</v>
      </c>
      <c r="P10" s="9">
        <v>70</v>
      </c>
      <c r="R10" s="9">
        <v>17</v>
      </c>
      <c r="S10" s="9">
        <v>70</v>
      </c>
      <c r="U10" s="9">
        <v>22</v>
      </c>
      <c r="V10" s="9">
        <v>70</v>
      </c>
      <c r="X10" s="9">
        <v>27</v>
      </c>
      <c r="Y10" s="9">
        <v>70</v>
      </c>
      <c r="AA10" s="9">
        <v>32</v>
      </c>
      <c r="AB10" s="9">
        <v>70</v>
      </c>
      <c r="AD10" s="9">
        <v>37</v>
      </c>
      <c r="AE10" s="9">
        <v>70</v>
      </c>
      <c r="AG10" s="9">
        <v>42</v>
      </c>
      <c r="AH10" s="9">
        <v>70</v>
      </c>
      <c r="AJ10" s="9">
        <v>47</v>
      </c>
      <c r="AK10" s="9">
        <v>70</v>
      </c>
    </row>
    <row r="11" spans="1:37" ht="19.5">
      <c r="A11" s="199" t="s">
        <v>136</v>
      </c>
      <c r="B11" s="199"/>
      <c r="C11" s="199"/>
      <c r="D11" s="199"/>
      <c r="E11" s="153">
        <v>19.03</v>
      </c>
      <c r="F11" s="153">
        <v>16.34</v>
      </c>
      <c r="G11" s="153">
        <v>18.23</v>
      </c>
      <c r="H11" s="153">
        <v>17.34</v>
      </c>
      <c r="I11" s="153"/>
      <c r="L11" s="9">
        <v>30</v>
      </c>
      <c r="M11" s="9">
        <v>0</v>
      </c>
      <c r="O11" s="9">
        <v>13</v>
      </c>
      <c r="P11" s="9">
        <v>0</v>
      </c>
      <c r="R11" s="9">
        <v>18</v>
      </c>
      <c r="S11" s="9">
        <v>0</v>
      </c>
      <c r="U11" s="9">
        <v>23</v>
      </c>
      <c r="V11" s="9">
        <v>0</v>
      </c>
      <c r="X11" s="9">
        <v>28</v>
      </c>
      <c r="Y11" s="9">
        <v>0</v>
      </c>
      <c r="AA11" s="9">
        <v>33</v>
      </c>
      <c r="AB11" s="9">
        <v>0</v>
      </c>
      <c r="AD11" s="9">
        <v>38</v>
      </c>
      <c r="AE11" s="9">
        <v>0</v>
      </c>
      <c r="AG11" s="9">
        <v>43</v>
      </c>
      <c r="AH11" s="9">
        <v>0</v>
      </c>
      <c r="AJ11" s="9">
        <v>48</v>
      </c>
      <c r="AK11" s="9">
        <v>0</v>
      </c>
    </row>
    <row r="12" spans="1:37" ht="19.5">
      <c r="A12" s="199" t="s">
        <v>138</v>
      </c>
      <c r="B12" s="199"/>
      <c r="C12" s="199"/>
      <c r="D12" s="199"/>
      <c r="E12" s="153">
        <f>E10-E11</f>
        <v>5.2799999999999976</v>
      </c>
      <c r="F12" s="153">
        <f t="shared" ref="F12:H12" si="0">F10-F11</f>
        <v>4.5</v>
      </c>
      <c r="G12" s="153">
        <f t="shared" si="0"/>
        <v>5.8900000000000006</v>
      </c>
      <c r="H12" s="153">
        <f t="shared" si="0"/>
        <v>5.1900000000000013</v>
      </c>
      <c r="I12" s="153"/>
      <c r="L12" s="9">
        <v>30</v>
      </c>
      <c r="M12" s="9">
        <v>70</v>
      </c>
      <c r="O12" s="9">
        <v>13</v>
      </c>
      <c r="P12" s="9">
        <v>70</v>
      </c>
      <c r="R12" s="9">
        <v>18</v>
      </c>
      <c r="S12" s="9">
        <v>70</v>
      </c>
      <c r="U12" s="9">
        <v>23</v>
      </c>
      <c r="V12" s="9">
        <v>70</v>
      </c>
      <c r="X12" s="9">
        <v>28</v>
      </c>
      <c r="Y12" s="9">
        <v>70</v>
      </c>
      <c r="AA12" s="9">
        <v>33</v>
      </c>
      <c r="AB12" s="9">
        <v>70</v>
      </c>
      <c r="AD12" s="9">
        <v>38</v>
      </c>
      <c r="AE12" s="9">
        <v>70</v>
      </c>
      <c r="AG12" s="9">
        <v>43</v>
      </c>
      <c r="AH12" s="9">
        <v>70</v>
      </c>
      <c r="AJ12" s="9">
        <v>48</v>
      </c>
      <c r="AK12" s="9">
        <v>70</v>
      </c>
    </row>
    <row r="13" spans="1:37" ht="19.5">
      <c r="A13" s="199" t="s">
        <v>139</v>
      </c>
      <c r="B13" s="199"/>
      <c r="C13" s="199"/>
      <c r="D13" s="199"/>
      <c r="E13" s="153">
        <f>E11-E9</f>
        <v>9.9100000000000019</v>
      </c>
      <c r="F13" s="153">
        <f t="shared" ref="F13:H13" si="1">F11-F9</f>
        <v>8.11</v>
      </c>
      <c r="G13" s="153">
        <f t="shared" si="1"/>
        <v>9.58</v>
      </c>
      <c r="H13" s="153">
        <f t="shared" si="1"/>
        <v>8</v>
      </c>
      <c r="I13" s="153"/>
      <c r="L13" s="9">
        <v>40</v>
      </c>
      <c r="M13" s="9">
        <v>0</v>
      </c>
      <c r="O13" s="9">
        <v>14</v>
      </c>
      <c r="P13" s="9">
        <v>0</v>
      </c>
      <c r="R13" s="9">
        <v>19</v>
      </c>
      <c r="S13" s="9">
        <v>0</v>
      </c>
      <c r="U13" s="9">
        <v>24</v>
      </c>
      <c r="V13" s="9">
        <v>0</v>
      </c>
      <c r="X13" s="9">
        <v>29</v>
      </c>
      <c r="Y13" s="9">
        <v>0</v>
      </c>
      <c r="AA13" s="9">
        <v>34</v>
      </c>
      <c r="AB13" s="9">
        <v>0</v>
      </c>
      <c r="AD13" s="9">
        <v>39</v>
      </c>
      <c r="AE13" s="9">
        <v>0</v>
      </c>
      <c r="AG13" s="9">
        <v>44</v>
      </c>
      <c r="AH13" s="9">
        <v>0</v>
      </c>
      <c r="AJ13" s="9">
        <v>49</v>
      </c>
      <c r="AK13" s="9">
        <v>0</v>
      </c>
    </row>
    <row r="14" spans="1:37" ht="19.5">
      <c r="A14" s="199" t="s">
        <v>137</v>
      </c>
      <c r="B14" s="199"/>
      <c r="C14" s="199"/>
      <c r="D14" s="199"/>
      <c r="E14" s="153">
        <f>(E12/E13)*100</f>
        <v>53.279515640766874</v>
      </c>
      <c r="F14" s="153">
        <f t="shared" ref="F14:H14" si="2">(F12/F13)*100</f>
        <v>55.487053020961774</v>
      </c>
      <c r="G14" s="153">
        <f t="shared" si="2"/>
        <v>61.482254697286024</v>
      </c>
      <c r="H14" s="153">
        <f t="shared" si="2"/>
        <v>64.875000000000014</v>
      </c>
      <c r="I14" s="153"/>
      <c r="L14" s="9">
        <v>40</v>
      </c>
      <c r="M14" s="9">
        <v>70</v>
      </c>
      <c r="O14" s="9">
        <v>14</v>
      </c>
      <c r="P14" s="9">
        <v>70</v>
      </c>
      <c r="R14" s="9">
        <v>19</v>
      </c>
      <c r="S14" s="9">
        <v>70</v>
      </c>
      <c r="U14" s="9">
        <v>24</v>
      </c>
      <c r="V14" s="9">
        <v>70</v>
      </c>
      <c r="X14" s="9">
        <v>29</v>
      </c>
      <c r="Y14" s="9">
        <v>70</v>
      </c>
      <c r="AA14" s="9">
        <v>34</v>
      </c>
      <c r="AB14" s="9">
        <v>70</v>
      </c>
      <c r="AD14" s="9">
        <v>39</v>
      </c>
      <c r="AE14" s="9">
        <v>70</v>
      </c>
      <c r="AG14" s="9">
        <v>44</v>
      </c>
      <c r="AH14" s="9">
        <v>70</v>
      </c>
      <c r="AJ14" s="9">
        <v>49</v>
      </c>
      <c r="AK14" s="9">
        <v>70</v>
      </c>
    </row>
    <row r="15" spans="1:37" ht="19.5">
      <c r="A15" s="209" t="s">
        <v>143</v>
      </c>
      <c r="B15" s="209"/>
      <c r="C15" s="209"/>
      <c r="D15" s="209"/>
      <c r="E15" s="155">
        <v>36</v>
      </c>
      <c r="F15" s="155">
        <v>28</v>
      </c>
      <c r="G15" s="155">
        <v>21</v>
      </c>
      <c r="H15" s="155">
        <v>17</v>
      </c>
      <c r="I15" s="44"/>
      <c r="L15" s="9">
        <v>50</v>
      </c>
      <c r="M15" s="9">
        <v>0</v>
      </c>
      <c r="O15" s="9">
        <v>15</v>
      </c>
      <c r="P15" s="9">
        <v>0</v>
      </c>
      <c r="R15" s="9">
        <v>20</v>
      </c>
      <c r="S15" s="9">
        <v>0</v>
      </c>
      <c r="U15" s="9">
        <v>25</v>
      </c>
      <c r="V15" s="9">
        <v>0</v>
      </c>
      <c r="X15" s="9">
        <v>30</v>
      </c>
      <c r="Y15" s="9">
        <v>0</v>
      </c>
      <c r="AA15" s="9">
        <v>35</v>
      </c>
      <c r="AB15" s="9">
        <v>0</v>
      </c>
      <c r="AD15" s="9">
        <v>40</v>
      </c>
      <c r="AE15" s="9">
        <v>0</v>
      </c>
      <c r="AG15" s="9">
        <v>45</v>
      </c>
      <c r="AH15" s="9">
        <v>0</v>
      </c>
      <c r="AJ15" s="9">
        <v>50</v>
      </c>
      <c r="AK15" s="9">
        <v>0</v>
      </c>
    </row>
    <row r="16" spans="1:37">
      <c r="L16" s="9">
        <v>50</v>
      </c>
      <c r="M16" s="9">
        <v>70</v>
      </c>
      <c r="O16" s="9">
        <v>15</v>
      </c>
      <c r="P16" s="9">
        <v>70</v>
      </c>
      <c r="R16" s="9">
        <v>20</v>
      </c>
      <c r="S16" s="9">
        <v>70</v>
      </c>
      <c r="U16" s="9">
        <v>25</v>
      </c>
      <c r="V16" s="9">
        <v>70</v>
      </c>
      <c r="X16" s="9">
        <v>30</v>
      </c>
      <c r="Y16" s="9">
        <v>70</v>
      </c>
      <c r="AA16" s="9">
        <v>35</v>
      </c>
      <c r="AB16" s="9">
        <v>70</v>
      </c>
      <c r="AD16" s="9">
        <v>40</v>
      </c>
      <c r="AE16" s="9">
        <v>70</v>
      </c>
      <c r="AG16" s="9">
        <v>45</v>
      </c>
      <c r="AH16" s="9">
        <v>70</v>
      </c>
      <c r="AJ16" s="9">
        <v>50</v>
      </c>
      <c r="AK16" s="9">
        <v>70</v>
      </c>
    </row>
  </sheetData>
  <mergeCells count="19">
    <mergeCell ref="A7:D7"/>
    <mergeCell ref="A14:D14"/>
    <mergeCell ref="A15:D15"/>
    <mergeCell ref="A10:D10"/>
    <mergeCell ref="A9:D9"/>
    <mergeCell ref="A8:D8"/>
    <mergeCell ref="A13:D13"/>
    <mergeCell ref="A12:D12"/>
    <mergeCell ref="A11:D11"/>
    <mergeCell ref="A5:B5"/>
    <mergeCell ref="A6:B6"/>
    <mergeCell ref="C6:I6"/>
    <mergeCell ref="A1:I1"/>
    <mergeCell ref="C2:I2"/>
    <mergeCell ref="C3:I3"/>
    <mergeCell ref="C4:I4"/>
    <mergeCell ref="C5:I5"/>
    <mergeCell ref="A2:B2"/>
    <mergeCell ref="A4:B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3"/>
  <sheetViews>
    <sheetView showGridLines="0" workbookViewId="0">
      <selection activeCell="K5" sqref="K5"/>
    </sheetView>
  </sheetViews>
  <sheetFormatPr defaultRowHeight="15"/>
  <cols>
    <col min="1" max="11" width="9.140625" style="9"/>
    <col min="12" max="13" width="3.85546875" style="9" bestFit="1" customWidth="1"/>
    <col min="14" max="14" width="4.28515625" style="9" customWidth="1"/>
    <col min="15" max="16" width="3.85546875" style="9" bestFit="1" customWidth="1"/>
    <col min="17" max="17" width="3" style="9" customWidth="1"/>
    <col min="18" max="19" width="3.85546875" style="9" bestFit="1" customWidth="1"/>
    <col min="20" max="20" width="4.7109375" style="9" customWidth="1"/>
    <col min="21" max="22" width="3.85546875" style="9" bestFit="1" customWidth="1"/>
    <col min="23" max="23" width="4.85546875" style="9" customWidth="1"/>
    <col min="24" max="25" width="3.85546875" style="9" bestFit="1" customWidth="1"/>
    <col min="26" max="26" width="4" style="9" customWidth="1"/>
    <col min="27" max="28" width="3.85546875" style="9" bestFit="1" customWidth="1"/>
    <col min="29" max="29" width="4.42578125" style="9" customWidth="1"/>
    <col min="30" max="31" width="3.85546875" style="9" bestFit="1" customWidth="1"/>
    <col min="32" max="32" width="3.5703125" style="9" customWidth="1"/>
    <col min="33" max="34" width="3.85546875" style="9" bestFit="1" customWidth="1"/>
    <col min="35" max="35" width="3.42578125" style="9" customWidth="1"/>
    <col min="36" max="37" width="3.85546875" style="9" bestFit="1" customWidth="1"/>
    <col min="38" max="16384" width="9.140625" style="9"/>
  </cols>
  <sheetData>
    <row r="1" spans="1:25" ht="19.5">
      <c r="A1" s="206" t="s">
        <v>144</v>
      </c>
      <c r="B1" s="206"/>
      <c r="C1" s="206"/>
      <c r="D1" s="206"/>
      <c r="E1" s="206"/>
      <c r="F1" s="206"/>
      <c r="G1" s="206"/>
      <c r="H1" s="206"/>
      <c r="I1" s="206"/>
    </row>
    <row r="2" spans="1:25" ht="19.5">
      <c r="A2" s="213" t="s">
        <v>13</v>
      </c>
      <c r="B2" s="213"/>
      <c r="C2" s="207" t="s">
        <v>15</v>
      </c>
      <c r="D2" s="207"/>
      <c r="E2" s="207"/>
      <c r="F2" s="207"/>
      <c r="G2" s="207"/>
      <c r="H2" s="207"/>
      <c r="I2" s="207"/>
    </row>
    <row r="3" spans="1:25" ht="19.5">
      <c r="A3" s="158" t="s">
        <v>34</v>
      </c>
      <c r="B3" s="158"/>
      <c r="C3" s="207" t="s">
        <v>35</v>
      </c>
      <c r="D3" s="207"/>
      <c r="E3" s="207"/>
      <c r="F3" s="207"/>
      <c r="G3" s="207"/>
      <c r="H3" s="207"/>
      <c r="I3" s="207"/>
    </row>
    <row r="4" spans="1:25" ht="19.5">
      <c r="A4" s="213" t="s">
        <v>11</v>
      </c>
      <c r="B4" s="213"/>
      <c r="C4" s="220">
        <v>38423</v>
      </c>
      <c r="D4" s="220"/>
      <c r="E4" s="220"/>
      <c r="F4" s="220"/>
      <c r="G4" s="220"/>
      <c r="H4" s="220"/>
      <c r="I4" s="220"/>
    </row>
    <row r="5" spans="1:25" ht="19.5">
      <c r="A5" s="213" t="s">
        <v>12</v>
      </c>
      <c r="B5" s="213"/>
      <c r="C5" s="207" t="s">
        <v>16</v>
      </c>
      <c r="D5" s="207"/>
      <c r="E5" s="207"/>
      <c r="F5" s="207"/>
      <c r="G5" s="207"/>
      <c r="H5" s="207"/>
      <c r="I5" s="207"/>
    </row>
    <row r="6" spans="1:25" ht="19.5">
      <c r="A6" s="209" t="s">
        <v>28</v>
      </c>
      <c r="B6" s="209"/>
      <c r="C6" s="208"/>
      <c r="D6" s="208"/>
      <c r="E6" s="208"/>
      <c r="F6" s="208"/>
      <c r="G6" s="208"/>
      <c r="H6" s="208"/>
      <c r="I6" s="208"/>
    </row>
    <row r="7" spans="1:25">
      <c r="A7" s="199" t="s">
        <v>140</v>
      </c>
      <c r="B7" s="199"/>
      <c r="C7" s="199"/>
      <c r="D7" s="199"/>
      <c r="E7" s="11">
        <v>1</v>
      </c>
      <c r="F7" s="11">
        <v>2</v>
      </c>
      <c r="G7" s="11">
        <v>3</v>
      </c>
      <c r="H7" s="11">
        <v>4</v>
      </c>
      <c r="I7" s="11">
        <v>5</v>
      </c>
      <c r="L7" s="9">
        <v>10</v>
      </c>
      <c r="M7" s="9">
        <v>0</v>
      </c>
      <c r="O7" s="9">
        <v>11</v>
      </c>
      <c r="P7" s="9">
        <v>0</v>
      </c>
      <c r="R7" s="9">
        <v>16</v>
      </c>
      <c r="S7" s="9">
        <v>0</v>
      </c>
      <c r="U7" s="9">
        <v>21</v>
      </c>
      <c r="V7" s="9">
        <v>0</v>
      </c>
      <c r="X7" s="9">
        <v>26</v>
      </c>
      <c r="Y7" s="9">
        <v>0</v>
      </c>
    </row>
    <row r="8" spans="1:25" ht="19.5">
      <c r="A8" s="199" t="s">
        <v>133</v>
      </c>
      <c r="B8" s="199"/>
      <c r="C8" s="199"/>
      <c r="D8" s="199"/>
      <c r="E8" s="156" t="s">
        <v>146</v>
      </c>
      <c r="F8" s="156" t="s">
        <v>147</v>
      </c>
      <c r="G8" s="156" t="s">
        <v>148</v>
      </c>
      <c r="H8" s="156" t="s">
        <v>149</v>
      </c>
      <c r="I8" s="156"/>
      <c r="L8" s="9">
        <v>10</v>
      </c>
      <c r="M8" s="9">
        <v>70</v>
      </c>
      <c r="O8" s="9">
        <v>11</v>
      </c>
      <c r="P8" s="9">
        <v>70</v>
      </c>
      <c r="R8" s="9">
        <v>16</v>
      </c>
      <c r="S8" s="9">
        <v>70</v>
      </c>
      <c r="U8" s="9">
        <v>21</v>
      </c>
      <c r="V8" s="9">
        <v>70</v>
      </c>
      <c r="X8" s="9">
        <v>26</v>
      </c>
      <c r="Y8" s="9">
        <v>70</v>
      </c>
    </row>
    <row r="9" spans="1:25" ht="19.5">
      <c r="A9" s="199" t="s">
        <v>134</v>
      </c>
      <c r="B9" s="199"/>
      <c r="C9" s="199"/>
      <c r="D9" s="199"/>
      <c r="E9" s="157">
        <v>12.2</v>
      </c>
      <c r="F9" s="157">
        <v>12.42</v>
      </c>
      <c r="G9" s="157">
        <v>12.12</v>
      </c>
      <c r="H9" s="157">
        <v>12.56</v>
      </c>
      <c r="I9" s="156"/>
      <c r="L9" s="9">
        <v>20</v>
      </c>
      <c r="M9" s="9">
        <v>0</v>
      </c>
      <c r="O9" s="9">
        <v>12</v>
      </c>
      <c r="P9" s="9">
        <v>0</v>
      </c>
      <c r="R9" s="9">
        <v>17</v>
      </c>
      <c r="S9" s="9">
        <v>0</v>
      </c>
      <c r="U9" s="9">
        <v>22</v>
      </c>
      <c r="V9" s="9">
        <v>0</v>
      </c>
      <c r="X9" s="9">
        <v>27</v>
      </c>
      <c r="Y9" s="9">
        <v>0</v>
      </c>
    </row>
    <row r="10" spans="1:25" ht="19.5">
      <c r="A10" s="199" t="s">
        <v>135</v>
      </c>
      <c r="B10" s="199"/>
      <c r="C10" s="199"/>
      <c r="D10" s="199"/>
      <c r="E10" s="157">
        <v>26.32</v>
      </c>
      <c r="F10" s="157">
        <v>28.54</v>
      </c>
      <c r="G10" s="157">
        <v>25.04</v>
      </c>
      <c r="H10" s="157">
        <v>28.83</v>
      </c>
      <c r="I10" s="156"/>
      <c r="L10" s="9">
        <v>20</v>
      </c>
      <c r="M10" s="9">
        <v>70</v>
      </c>
      <c r="O10" s="9">
        <v>12</v>
      </c>
      <c r="P10" s="9">
        <v>70</v>
      </c>
      <c r="R10" s="9">
        <v>17</v>
      </c>
      <c r="S10" s="9">
        <v>70</v>
      </c>
      <c r="U10" s="9">
        <v>22</v>
      </c>
      <c r="V10" s="9">
        <v>70</v>
      </c>
      <c r="X10" s="9">
        <v>27</v>
      </c>
      <c r="Y10" s="9">
        <v>70</v>
      </c>
    </row>
    <row r="11" spans="1:25" ht="19.5">
      <c r="A11" s="199" t="s">
        <v>136</v>
      </c>
      <c r="B11" s="199"/>
      <c r="C11" s="199"/>
      <c r="D11" s="199"/>
      <c r="E11" s="157">
        <v>21.23</v>
      </c>
      <c r="F11" s="157">
        <v>22.63</v>
      </c>
      <c r="G11" s="157">
        <v>20.21</v>
      </c>
      <c r="H11" s="157">
        <v>22.65</v>
      </c>
      <c r="I11" s="156"/>
      <c r="L11" s="9">
        <v>30</v>
      </c>
      <c r="M11" s="9">
        <v>0</v>
      </c>
      <c r="O11" s="9">
        <v>13</v>
      </c>
      <c r="P11" s="9">
        <v>0</v>
      </c>
      <c r="R11" s="9">
        <v>18</v>
      </c>
      <c r="S11" s="9">
        <v>0</v>
      </c>
      <c r="U11" s="9">
        <v>23</v>
      </c>
      <c r="V11" s="9">
        <v>0</v>
      </c>
      <c r="X11" s="9">
        <v>28</v>
      </c>
      <c r="Y11" s="9">
        <v>0</v>
      </c>
    </row>
    <row r="12" spans="1:25" ht="19.5">
      <c r="A12" s="199" t="s">
        <v>138</v>
      </c>
      <c r="B12" s="199"/>
      <c r="C12" s="199"/>
      <c r="D12" s="199"/>
      <c r="E12" s="157">
        <f>E10-E11</f>
        <v>5.09</v>
      </c>
      <c r="F12" s="157">
        <f t="shared" ref="F12:H12" si="0">F10-F11</f>
        <v>5.91</v>
      </c>
      <c r="G12" s="157">
        <f t="shared" si="0"/>
        <v>4.8299999999999983</v>
      </c>
      <c r="H12" s="157">
        <f t="shared" si="0"/>
        <v>6.18</v>
      </c>
      <c r="I12" s="156"/>
      <c r="L12" s="9">
        <v>30</v>
      </c>
      <c r="M12" s="9">
        <v>70</v>
      </c>
      <c r="O12" s="9">
        <v>13</v>
      </c>
      <c r="P12" s="9">
        <v>70</v>
      </c>
      <c r="R12" s="9">
        <v>18</v>
      </c>
      <c r="S12" s="9">
        <v>70</v>
      </c>
      <c r="U12" s="9">
        <v>23</v>
      </c>
      <c r="V12" s="9">
        <v>70</v>
      </c>
      <c r="X12" s="9">
        <v>28</v>
      </c>
      <c r="Y12" s="9">
        <v>70</v>
      </c>
    </row>
    <row r="13" spans="1:25" ht="19.5">
      <c r="A13" s="199" t="s">
        <v>139</v>
      </c>
      <c r="B13" s="199"/>
      <c r="C13" s="199"/>
      <c r="D13" s="199"/>
      <c r="E13" s="157">
        <f>E11-E9</f>
        <v>9.0300000000000011</v>
      </c>
      <c r="F13" s="157">
        <f t="shared" ref="F13:H13" si="1">F11-F9</f>
        <v>10.209999999999999</v>
      </c>
      <c r="G13" s="157">
        <f t="shared" si="1"/>
        <v>8.0900000000000016</v>
      </c>
      <c r="H13" s="157">
        <f t="shared" si="1"/>
        <v>10.089999999999998</v>
      </c>
      <c r="I13" s="156"/>
      <c r="L13" s="9">
        <v>40</v>
      </c>
      <c r="M13" s="9">
        <v>0</v>
      </c>
      <c r="O13" s="9">
        <v>14</v>
      </c>
      <c r="P13" s="9">
        <v>0</v>
      </c>
      <c r="R13" s="9">
        <v>19</v>
      </c>
      <c r="S13" s="9">
        <v>0</v>
      </c>
      <c r="U13" s="9">
        <v>24</v>
      </c>
      <c r="V13" s="9">
        <v>0</v>
      </c>
      <c r="X13" s="9">
        <v>29</v>
      </c>
      <c r="Y13" s="9">
        <v>0</v>
      </c>
    </row>
    <row r="14" spans="1:25" ht="19.5">
      <c r="A14" s="199" t="s">
        <v>137</v>
      </c>
      <c r="B14" s="199"/>
      <c r="C14" s="199"/>
      <c r="D14" s="199"/>
      <c r="E14" s="157">
        <f>(E12/E13)*100</f>
        <v>56.367663344407525</v>
      </c>
      <c r="F14" s="157">
        <f t="shared" ref="F14:H14" si="2">(F12/F13)*100</f>
        <v>57.884427032321263</v>
      </c>
      <c r="G14" s="157">
        <f t="shared" si="2"/>
        <v>59.703337453646441</v>
      </c>
      <c r="H14" s="157">
        <f t="shared" si="2"/>
        <v>61.248761149653127</v>
      </c>
      <c r="I14" s="156"/>
      <c r="L14" s="9">
        <v>40</v>
      </c>
      <c r="M14" s="9">
        <v>70</v>
      </c>
      <c r="O14" s="9">
        <v>14</v>
      </c>
      <c r="P14" s="9">
        <v>70</v>
      </c>
      <c r="R14" s="9">
        <v>19</v>
      </c>
      <c r="S14" s="9">
        <v>70</v>
      </c>
      <c r="U14" s="9">
        <v>24</v>
      </c>
      <c r="V14" s="9">
        <v>70</v>
      </c>
      <c r="X14" s="9">
        <v>29</v>
      </c>
      <c r="Y14" s="9">
        <v>70</v>
      </c>
    </row>
    <row r="15" spans="1:25" ht="19.5">
      <c r="A15" s="209" t="s">
        <v>145</v>
      </c>
      <c r="B15" s="209"/>
      <c r="C15" s="209"/>
      <c r="D15" s="209"/>
      <c r="E15" s="159">
        <v>14.2</v>
      </c>
      <c r="F15" s="159">
        <v>18.5</v>
      </c>
      <c r="G15" s="159">
        <v>22.3</v>
      </c>
      <c r="H15" s="159">
        <v>25.6</v>
      </c>
      <c r="I15" s="44"/>
      <c r="L15" s="9">
        <v>50</v>
      </c>
      <c r="M15" s="9">
        <v>0</v>
      </c>
      <c r="O15" s="9">
        <v>15</v>
      </c>
      <c r="P15" s="9">
        <v>0</v>
      </c>
      <c r="R15" s="9">
        <v>20</v>
      </c>
      <c r="S15" s="9">
        <v>0</v>
      </c>
      <c r="U15" s="9">
        <v>25</v>
      </c>
      <c r="V15" s="9">
        <v>0</v>
      </c>
      <c r="X15" s="9">
        <v>30</v>
      </c>
      <c r="Y15" s="9">
        <v>0</v>
      </c>
    </row>
    <row r="16" spans="1:25">
      <c r="L16" s="9">
        <v>50</v>
      </c>
      <c r="M16" s="9">
        <v>70</v>
      </c>
      <c r="O16" s="9">
        <v>15</v>
      </c>
      <c r="P16" s="9">
        <v>70</v>
      </c>
      <c r="R16" s="9">
        <v>20</v>
      </c>
      <c r="S16" s="9">
        <v>70</v>
      </c>
      <c r="U16" s="9">
        <v>25</v>
      </c>
      <c r="V16" s="9">
        <v>70</v>
      </c>
      <c r="X16" s="9">
        <v>30</v>
      </c>
      <c r="Y16" s="9">
        <v>70</v>
      </c>
    </row>
    <row r="33" spans="1:8">
      <c r="A33" s="224" t="s">
        <v>150</v>
      </c>
      <c r="B33" s="224"/>
    </row>
    <row r="34" spans="1:8">
      <c r="A34" s="9">
        <v>11</v>
      </c>
      <c r="B34" s="9">
        <v>54</v>
      </c>
      <c r="C34" s="9">
        <v>16</v>
      </c>
      <c r="D34" s="9">
        <v>54</v>
      </c>
      <c r="E34" s="9">
        <v>21</v>
      </c>
      <c r="F34" s="9">
        <v>54</v>
      </c>
      <c r="G34" s="9">
        <v>26</v>
      </c>
      <c r="H34" s="9">
        <v>54</v>
      </c>
    </row>
    <row r="35" spans="1:8">
      <c r="A35" s="9">
        <v>11</v>
      </c>
      <c r="B35" s="9">
        <v>62</v>
      </c>
      <c r="C35" s="9">
        <v>16</v>
      </c>
      <c r="D35" s="9">
        <v>62</v>
      </c>
      <c r="E35" s="9">
        <v>21</v>
      </c>
      <c r="F35" s="9">
        <v>62</v>
      </c>
      <c r="G35" s="9">
        <v>26</v>
      </c>
      <c r="H35" s="9">
        <v>62</v>
      </c>
    </row>
    <row r="36" spans="1:8">
      <c r="A36" s="9">
        <v>12</v>
      </c>
      <c r="B36" s="9">
        <v>54</v>
      </c>
      <c r="C36" s="9">
        <v>17</v>
      </c>
      <c r="D36" s="9">
        <v>54</v>
      </c>
      <c r="E36" s="9">
        <v>22</v>
      </c>
      <c r="F36" s="9">
        <v>54</v>
      </c>
      <c r="G36" s="9">
        <v>27</v>
      </c>
      <c r="H36" s="9">
        <v>54</v>
      </c>
    </row>
    <row r="37" spans="1:8">
      <c r="A37" s="9">
        <v>12</v>
      </c>
      <c r="B37" s="9">
        <v>62</v>
      </c>
      <c r="C37" s="9">
        <v>17</v>
      </c>
      <c r="D37" s="9">
        <v>62</v>
      </c>
      <c r="E37" s="9">
        <v>22</v>
      </c>
      <c r="F37" s="9">
        <v>62</v>
      </c>
      <c r="G37" s="9">
        <v>27</v>
      </c>
      <c r="H37" s="9">
        <v>62</v>
      </c>
    </row>
    <row r="38" spans="1:8">
      <c r="A38" s="9">
        <v>13</v>
      </c>
      <c r="B38" s="9">
        <v>54</v>
      </c>
      <c r="C38" s="9">
        <v>18</v>
      </c>
      <c r="D38" s="9">
        <v>54</v>
      </c>
      <c r="E38" s="9">
        <v>23</v>
      </c>
      <c r="F38" s="9">
        <v>54</v>
      </c>
      <c r="G38" s="9">
        <v>28</v>
      </c>
      <c r="H38" s="9">
        <v>54</v>
      </c>
    </row>
    <row r="39" spans="1:8">
      <c r="A39" s="9">
        <v>13</v>
      </c>
      <c r="B39" s="9">
        <v>62</v>
      </c>
      <c r="C39" s="9">
        <v>18</v>
      </c>
      <c r="D39" s="9">
        <v>62</v>
      </c>
      <c r="E39" s="9">
        <v>23</v>
      </c>
      <c r="F39" s="9">
        <v>62</v>
      </c>
      <c r="G39" s="9">
        <v>28</v>
      </c>
      <c r="H39" s="9">
        <v>62</v>
      </c>
    </row>
    <row r="40" spans="1:8">
      <c r="A40" s="9">
        <v>14</v>
      </c>
      <c r="B40" s="9">
        <v>54</v>
      </c>
      <c r="C40" s="9">
        <v>19</v>
      </c>
      <c r="D40" s="9">
        <v>54</v>
      </c>
      <c r="E40" s="9">
        <v>24</v>
      </c>
      <c r="F40" s="9">
        <v>54</v>
      </c>
      <c r="G40" s="9">
        <v>29</v>
      </c>
      <c r="H40" s="9">
        <v>54</v>
      </c>
    </row>
    <row r="41" spans="1:8">
      <c r="A41" s="9">
        <v>14</v>
      </c>
      <c r="B41" s="9">
        <v>62</v>
      </c>
      <c r="C41" s="9">
        <v>19</v>
      </c>
      <c r="D41" s="9">
        <v>62</v>
      </c>
      <c r="E41" s="9">
        <v>24</v>
      </c>
      <c r="F41" s="9">
        <v>62</v>
      </c>
      <c r="G41" s="9">
        <v>29</v>
      </c>
      <c r="H41" s="9">
        <v>62</v>
      </c>
    </row>
    <row r="42" spans="1:8">
      <c r="A42" s="9">
        <v>15</v>
      </c>
      <c r="B42" s="9">
        <v>54</v>
      </c>
      <c r="C42" s="9">
        <v>20</v>
      </c>
      <c r="D42" s="9">
        <v>54</v>
      </c>
      <c r="E42" s="9">
        <v>25</v>
      </c>
      <c r="F42" s="9">
        <v>54</v>
      </c>
      <c r="G42" s="9">
        <v>30</v>
      </c>
      <c r="H42" s="9">
        <v>54</v>
      </c>
    </row>
    <row r="43" spans="1:8">
      <c r="A43" s="9">
        <v>15</v>
      </c>
      <c r="B43" s="9">
        <v>62</v>
      </c>
      <c r="C43" s="9">
        <v>20</v>
      </c>
      <c r="D43" s="9">
        <v>62</v>
      </c>
      <c r="E43" s="9">
        <v>25</v>
      </c>
      <c r="F43" s="9">
        <v>62</v>
      </c>
      <c r="G43" s="9">
        <v>30</v>
      </c>
      <c r="H43" s="9">
        <v>62</v>
      </c>
    </row>
  </sheetData>
  <mergeCells count="20">
    <mergeCell ref="A8:D8"/>
    <mergeCell ref="A1:I1"/>
    <mergeCell ref="A2:B2"/>
    <mergeCell ref="C2:I2"/>
    <mergeCell ref="C3:I3"/>
    <mergeCell ref="A4:B4"/>
    <mergeCell ref="C4:I4"/>
    <mergeCell ref="A5:B5"/>
    <mergeCell ref="C5:I5"/>
    <mergeCell ref="A6:B6"/>
    <mergeCell ref="C6:I6"/>
    <mergeCell ref="A7:D7"/>
    <mergeCell ref="A15:D15"/>
    <mergeCell ref="A33:B33"/>
    <mergeCell ref="A9:D9"/>
    <mergeCell ref="A10:D10"/>
    <mergeCell ref="A11:D11"/>
    <mergeCell ref="A12:D12"/>
    <mergeCell ref="A13:D13"/>
    <mergeCell ref="A14:D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>
      <selection activeCell="M7" sqref="M7"/>
    </sheetView>
  </sheetViews>
  <sheetFormatPr defaultRowHeight="15"/>
  <cols>
    <col min="1" max="16384" width="9.140625" style="9"/>
  </cols>
  <sheetData>
    <row r="1" spans="1:9" ht="19.5" customHeight="1">
      <c r="A1" s="206" t="s">
        <v>170</v>
      </c>
      <c r="B1" s="206"/>
      <c r="C1" s="206"/>
      <c r="D1" s="206"/>
      <c r="E1" s="206"/>
      <c r="F1" s="206"/>
      <c r="G1" s="206"/>
      <c r="H1" s="206"/>
      <c r="I1" s="206"/>
    </row>
    <row r="2" spans="1:9" ht="19.5">
      <c r="A2" s="199" t="s">
        <v>13</v>
      </c>
      <c r="B2" s="199"/>
      <c r="C2" s="207" t="s">
        <v>169</v>
      </c>
      <c r="D2" s="207"/>
      <c r="E2" s="207"/>
      <c r="F2" s="207"/>
      <c r="G2" s="207"/>
      <c r="H2" s="207"/>
      <c r="I2" s="207"/>
    </row>
    <row r="3" spans="1:9" ht="19.5">
      <c r="A3" s="199" t="s">
        <v>165</v>
      </c>
      <c r="B3" s="199"/>
      <c r="C3" s="199"/>
      <c r="D3" s="171">
        <v>2.8</v>
      </c>
      <c r="E3" s="199" t="s">
        <v>0</v>
      </c>
      <c r="F3" s="199"/>
      <c r="G3" s="207" t="s">
        <v>172</v>
      </c>
      <c r="H3" s="207"/>
      <c r="I3" s="207"/>
    </row>
    <row r="4" spans="1:9" ht="19.5">
      <c r="A4" s="57" t="s">
        <v>156</v>
      </c>
      <c r="B4" s="57"/>
      <c r="C4" s="57"/>
      <c r="D4" s="57"/>
      <c r="E4" s="57" t="s">
        <v>11</v>
      </c>
      <c r="F4" s="207" t="s">
        <v>173</v>
      </c>
      <c r="G4" s="207"/>
      <c r="H4" s="207"/>
      <c r="I4" s="207"/>
    </row>
    <row r="5" spans="1:9" ht="19.5">
      <c r="A5" s="199" t="s">
        <v>151</v>
      </c>
      <c r="B5" s="199"/>
      <c r="C5" s="199"/>
      <c r="D5" s="165">
        <v>78</v>
      </c>
      <c r="E5" s="57" t="s">
        <v>174</v>
      </c>
      <c r="F5" s="57"/>
      <c r="G5" s="57"/>
      <c r="H5" s="57"/>
      <c r="I5" s="57"/>
    </row>
    <row r="6" spans="1:9" ht="19.5">
      <c r="A6" s="199" t="s">
        <v>153</v>
      </c>
      <c r="B6" s="199"/>
      <c r="C6" s="199"/>
      <c r="D6" s="165">
        <v>15</v>
      </c>
      <c r="E6" s="57" t="s">
        <v>171</v>
      </c>
      <c r="F6" s="57"/>
      <c r="G6" s="57"/>
      <c r="H6" s="57"/>
      <c r="I6" s="57"/>
    </row>
    <row r="7" spans="1:9" ht="19.5">
      <c r="A7" s="199" t="s">
        <v>152</v>
      </c>
      <c r="B7" s="199"/>
      <c r="C7" s="199"/>
      <c r="D7" s="165">
        <v>7</v>
      </c>
      <c r="E7" s="57"/>
      <c r="F7" s="57"/>
      <c r="G7" s="57"/>
      <c r="H7" s="57"/>
      <c r="I7" s="57"/>
    </row>
    <row r="8" spans="1:9" ht="19.5">
      <c r="A8" s="199" t="s">
        <v>154</v>
      </c>
      <c r="B8" s="199"/>
      <c r="C8" s="199"/>
      <c r="D8" s="165">
        <v>0</v>
      </c>
      <c r="E8" s="57"/>
      <c r="F8" s="57"/>
      <c r="G8" s="57"/>
      <c r="H8" s="57"/>
      <c r="I8" s="57"/>
    </row>
    <row r="9" spans="1:9" ht="19.5">
      <c r="A9" s="209" t="s">
        <v>155</v>
      </c>
      <c r="B9" s="209"/>
      <c r="C9" s="209"/>
      <c r="D9" s="163">
        <v>0</v>
      </c>
      <c r="E9" s="44"/>
      <c r="F9" s="44"/>
      <c r="G9" s="44"/>
      <c r="H9" s="44"/>
      <c r="I9" s="44"/>
    </row>
    <row r="10" spans="1:9" ht="19.5">
      <c r="A10" s="199" t="s">
        <v>175</v>
      </c>
      <c r="B10" s="199"/>
      <c r="C10" s="199"/>
      <c r="D10" s="199"/>
      <c r="E10" s="199"/>
      <c r="F10" s="199"/>
      <c r="G10" s="199"/>
      <c r="H10" s="199"/>
      <c r="I10" s="199"/>
    </row>
    <row r="11" spans="1:9" ht="19.5">
      <c r="A11" s="199" t="s">
        <v>177</v>
      </c>
      <c r="B11" s="199"/>
      <c r="C11" s="199"/>
      <c r="D11" s="161"/>
      <c r="E11" s="57" t="s">
        <v>104</v>
      </c>
      <c r="F11" s="57" t="s">
        <v>108</v>
      </c>
      <c r="G11" s="57" t="s">
        <v>105</v>
      </c>
      <c r="H11" s="57" t="s">
        <v>106</v>
      </c>
      <c r="I11" s="57" t="s">
        <v>107</v>
      </c>
    </row>
    <row r="12" spans="1:9" ht="19.5">
      <c r="A12" s="199" t="s">
        <v>157</v>
      </c>
      <c r="B12" s="199"/>
      <c r="C12" s="199"/>
      <c r="D12" s="161"/>
      <c r="E12" s="162" t="s">
        <v>123</v>
      </c>
      <c r="F12" s="162" t="s">
        <v>123</v>
      </c>
      <c r="G12" s="162" t="s">
        <v>123</v>
      </c>
      <c r="H12" s="162" t="s">
        <v>123</v>
      </c>
      <c r="I12" s="162" t="s">
        <v>123</v>
      </c>
    </row>
    <row r="13" spans="1:9" ht="21">
      <c r="A13" s="199" t="s">
        <v>158</v>
      </c>
      <c r="B13" s="199"/>
      <c r="C13" s="199"/>
      <c r="D13" s="161"/>
      <c r="E13" s="162">
        <v>943</v>
      </c>
      <c r="F13" s="162">
        <v>943</v>
      </c>
      <c r="G13" s="162">
        <v>943</v>
      </c>
      <c r="H13" s="162">
        <v>943</v>
      </c>
      <c r="I13" s="162">
        <v>943</v>
      </c>
    </row>
    <row r="14" spans="1:9" ht="19.5">
      <c r="A14" s="199" t="s">
        <v>159</v>
      </c>
      <c r="B14" s="199"/>
      <c r="C14" s="199"/>
      <c r="D14" s="161"/>
      <c r="E14" s="12">
        <v>1942.1</v>
      </c>
      <c r="F14" s="12">
        <v>1942.1</v>
      </c>
      <c r="G14" s="12">
        <v>1942.1</v>
      </c>
      <c r="H14" s="12">
        <v>1942.1</v>
      </c>
      <c r="I14" s="12">
        <v>1942.1</v>
      </c>
    </row>
    <row r="15" spans="1:9" ht="19.5">
      <c r="A15" s="199" t="s">
        <v>160</v>
      </c>
      <c r="B15" s="199"/>
      <c r="C15" s="199"/>
      <c r="D15" s="161"/>
      <c r="E15" s="12">
        <v>3732.2</v>
      </c>
      <c r="F15" s="12">
        <v>3843.2</v>
      </c>
      <c r="G15" s="12">
        <v>3932.4</v>
      </c>
      <c r="H15" s="12">
        <v>3913.8</v>
      </c>
      <c r="I15" s="12">
        <v>3867.4</v>
      </c>
    </row>
    <row r="16" spans="1:9" ht="21">
      <c r="A16" s="199" t="s">
        <v>166</v>
      </c>
      <c r="B16" s="199"/>
      <c r="C16" s="199"/>
      <c r="D16" s="161"/>
      <c r="E16" s="164">
        <f>(E15-E14)/E13</f>
        <v>1.8983032873806998</v>
      </c>
      <c r="F16" s="164">
        <f t="shared" ref="F16:I16" si="0">(F15-F14)/F13</f>
        <v>2.0160127253446447</v>
      </c>
      <c r="G16" s="164">
        <f t="shared" si="0"/>
        <v>2.1106044538706259</v>
      </c>
      <c r="H16" s="164">
        <f t="shared" si="0"/>
        <v>2.0908801696712622</v>
      </c>
      <c r="I16" s="164">
        <f t="shared" si="0"/>
        <v>2.0416755037115593</v>
      </c>
    </row>
    <row r="17" spans="1:9">
      <c r="A17" s="199" t="s">
        <v>176</v>
      </c>
      <c r="B17" s="199"/>
      <c r="C17" s="199"/>
      <c r="D17" s="161"/>
      <c r="E17" s="57"/>
      <c r="F17" s="57"/>
      <c r="G17" s="57"/>
      <c r="H17" s="57"/>
      <c r="I17" s="57"/>
    </row>
    <row r="18" spans="1:9" ht="19.5">
      <c r="A18" s="199" t="s">
        <v>161</v>
      </c>
      <c r="B18" s="199"/>
      <c r="C18" s="199"/>
      <c r="D18" s="161"/>
      <c r="E18" s="10">
        <v>42</v>
      </c>
      <c r="F18" s="10">
        <v>21</v>
      </c>
      <c r="G18" s="10">
        <v>16</v>
      </c>
      <c r="H18" s="10">
        <v>17</v>
      </c>
      <c r="I18" s="10">
        <v>19</v>
      </c>
    </row>
    <row r="19" spans="1:9" ht="19.5">
      <c r="A19" s="199" t="s">
        <v>164</v>
      </c>
      <c r="B19" s="199"/>
      <c r="C19" s="199"/>
      <c r="D19" s="161"/>
      <c r="E19" s="60">
        <v>32.229999999999997</v>
      </c>
      <c r="F19" s="60">
        <v>31.46</v>
      </c>
      <c r="G19" s="60">
        <v>31.89</v>
      </c>
      <c r="H19" s="60">
        <v>32.92</v>
      </c>
      <c r="I19" s="60">
        <v>32.119999999999997</v>
      </c>
    </row>
    <row r="20" spans="1:9" ht="19.5">
      <c r="A20" s="199" t="s">
        <v>162</v>
      </c>
      <c r="B20" s="199"/>
      <c r="C20" s="199"/>
      <c r="D20" s="161"/>
      <c r="E20" s="60">
        <v>123.51</v>
      </c>
      <c r="F20" s="60">
        <v>132.52000000000001</v>
      </c>
      <c r="G20" s="60">
        <v>129.32</v>
      </c>
      <c r="H20" s="60">
        <v>132.72999999999999</v>
      </c>
      <c r="I20" s="60">
        <v>122.81</v>
      </c>
    </row>
    <row r="21" spans="1:9" ht="19.5">
      <c r="A21" s="199" t="s">
        <v>163</v>
      </c>
      <c r="B21" s="199"/>
      <c r="C21" s="199"/>
      <c r="D21" s="161"/>
      <c r="E21" s="60">
        <v>112.9</v>
      </c>
      <c r="F21" s="60">
        <v>119.3</v>
      </c>
      <c r="G21" s="60">
        <v>114.98</v>
      </c>
      <c r="H21" s="60">
        <v>116.42</v>
      </c>
      <c r="I21" s="60">
        <v>106.79</v>
      </c>
    </row>
    <row r="22" spans="1:9" ht="19.5">
      <c r="A22" s="199" t="s">
        <v>137</v>
      </c>
      <c r="B22" s="199"/>
      <c r="C22" s="199"/>
      <c r="D22" s="161"/>
      <c r="E22" s="60">
        <f>100*(E20-E21)/(E21-E19)</f>
        <v>13.152349076484441</v>
      </c>
      <c r="F22" s="60">
        <f t="shared" ref="F22:I22" si="1">100*(F20-F21)/(F21-F19)</f>
        <v>15.050091074681253</v>
      </c>
      <c r="G22" s="60">
        <f t="shared" si="1"/>
        <v>17.258394511974952</v>
      </c>
      <c r="H22" s="60">
        <f t="shared" si="1"/>
        <v>19.532934131736514</v>
      </c>
      <c r="I22" s="60">
        <f t="shared" si="1"/>
        <v>21.454399357171543</v>
      </c>
    </row>
    <row r="23" spans="1:9" ht="7.5" customHeight="1">
      <c r="A23" s="57"/>
      <c r="B23" s="57"/>
      <c r="C23" s="57"/>
      <c r="D23" s="57"/>
      <c r="E23" s="57"/>
      <c r="F23" s="57"/>
      <c r="G23" s="57"/>
      <c r="H23" s="57"/>
      <c r="I23" s="57"/>
    </row>
    <row r="24" spans="1:9" ht="21">
      <c r="A24" s="57" t="s">
        <v>167</v>
      </c>
      <c r="B24" s="57"/>
      <c r="C24" s="57"/>
      <c r="D24" s="57"/>
      <c r="E24" s="60">
        <f>E16/(1+E22/100)</f>
        <v>1.6776525656551387</v>
      </c>
      <c r="F24" s="60">
        <f>F16/(1+F22/100)</f>
        <v>1.7522912902659171</v>
      </c>
      <c r="G24" s="60">
        <f>G16/(1+G22/100)</f>
        <v>1.7999602183322418</v>
      </c>
      <c r="H24" s="60">
        <f>H16/(1+H22/100)</f>
        <v>1.7492084377071477</v>
      </c>
      <c r="I24" s="60">
        <f>I16/(1+I22/100)</f>
        <v>1.6810222721594679</v>
      </c>
    </row>
    <row r="25" spans="1:9" ht="21">
      <c r="A25" s="209" t="s">
        <v>168</v>
      </c>
      <c r="B25" s="209"/>
      <c r="C25" s="209"/>
      <c r="D25" s="209"/>
      <c r="E25" s="62">
        <f>$D$3/(1+$D$3*E22/100)</f>
        <v>2.046386055192158</v>
      </c>
      <c r="F25" s="62">
        <f t="shared" ref="F25:I25" si="2">$D$3/(1+$D$3*F22/100)</f>
        <v>1.9698853078746712</v>
      </c>
      <c r="G25" s="62">
        <f t="shared" si="2"/>
        <v>1.8877655344768833</v>
      </c>
      <c r="H25" s="62">
        <f t="shared" si="2"/>
        <v>1.8100458317849626</v>
      </c>
      <c r="I25" s="62">
        <f t="shared" si="2"/>
        <v>1.7492093770393056</v>
      </c>
    </row>
  </sheetData>
  <mergeCells count="26">
    <mergeCell ref="A2:B2"/>
    <mergeCell ref="C2:I2"/>
    <mergeCell ref="A1:I1"/>
    <mergeCell ref="E3:F3"/>
    <mergeCell ref="G3:I3"/>
    <mergeCell ref="A11:C11"/>
    <mergeCell ref="A19:C19"/>
    <mergeCell ref="A12:C12"/>
    <mergeCell ref="F4:I4"/>
    <mergeCell ref="A3:C3"/>
    <mergeCell ref="A10:I10"/>
    <mergeCell ref="A5:C5"/>
    <mergeCell ref="A6:C6"/>
    <mergeCell ref="A7:C7"/>
    <mergeCell ref="A8:C8"/>
    <mergeCell ref="A9:C9"/>
    <mergeCell ref="A25:D25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0"/>
  <sheetViews>
    <sheetView showGridLines="0" workbookViewId="0">
      <selection activeCell="L3" sqref="L3"/>
    </sheetView>
  </sheetViews>
  <sheetFormatPr defaultRowHeight="15"/>
  <cols>
    <col min="1" max="16384" width="9.140625" style="9"/>
  </cols>
  <sheetData>
    <row r="1" spans="1:15" ht="19.5">
      <c r="A1" s="206" t="s">
        <v>196</v>
      </c>
      <c r="B1" s="206"/>
      <c r="C1" s="206"/>
      <c r="D1" s="206"/>
      <c r="E1" s="206"/>
      <c r="F1" s="206"/>
      <c r="G1" s="206"/>
      <c r="H1" s="206"/>
      <c r="I1" s="206"/>
    </row>
    <row r="2" spans="1:15" ht="19.5">
      <c r="A2" s="199" t="s">
        <v>13</v>
      </c>
      <c r="B2" s="199"/>
      <c r="C2" s="207" t="s">
        <v>197</v>
      </c>
      <c r="D2" s="207"/>
      <c r="E2" s="207"/>
      <c r="F2" s="207"/>
      <c r="G2" s="207"/>
      <c r="H2" s="207"/>
      <c r="I2" s="207"/>
    </row>
    <row r="3" spans="1:15" ht="19.5">
      <c r="A3" s="199" t="s">
        <v>0</v>
      </c>
      <c r="B3" s="199"/>
      <c r="C3" s="207" t="s">
        <v>172</v>
      </c>
      <c r="D3" s="207"/>
      <c r="E3" s="207"/>
      <c r="F3" s="57"/>
      <c r="G3" s="57"/>
      <c r="H3" s="57"/>
      <c r="I3" s="57"/>
    </row>
    <row r="4" spans="1:15" ht="19.5">
      <c r="A4" s="57" t="s">
        <v>11</v>
      </c>
      <c r="B4" s="207" t="s">
        <v>198</v>
      </c>
      <c r="C4" s="207"/>
      <c r="D4" s="168"/>
      <c r="E4" s="199" t="s">
        <v>199</v>
      </c>
      <c r="F4" s="199"/>
      <c r="G4" s="199"/>
      <c r="H4" s="199"/>
      <c r="I4" s="199"/>
    </row>
    <row r="5" spans="1:15" ht="19.5">
      <c r="A5" s="199" t="s">
        <v>200</v>
      </c>
      <c r="B5" s="199"/>
      <c r="C5" s="199"/>
      <c r="D5" s="199"/>
      <c r="E5" s="199"/>
      <c r="F5" s="199"/>
      <c r="G5" s="199"/>
      <c r="H5" s="199"/>
      <c r="I5" s="199"/>
    </row>
    <row r="6" spans="1:15">
      <c r="A6" s="44"/>
      <c r="B6" s="44"/>
      <c r="C6" s="44"/>
      <c r="D6" s="44"/>
      <c r="E6" s="44"/>
      <c r="F6" s="44"/>
      <c r="G6" s="44"/>
      <c r="H6" s="44"/>
      <c r="I6" s="44"/>
      <c r="L6" s="248"/>
      <c r="M6" s="248"/>
      <c r="N6" s="248"/>
    </row>
    <row r="7" spans="1:15" ht="18.75">
      <c r="A7" s="57" t="s">
        <v>352</v>
      </c>
      <c r="B7" s="57"/>
      <c r="C7" s="57"/>
      <c r="D7" s="57"/>
      <c r="E7" s="57"/>
      <c r="F7" s="57"/>
      <c r="G7" s="57"/>
      <c r="H7" s="57"/>
      <c r="I7" s="57"/>
      <c r="L7" s="57"/>
      <c r="M7" s="57"/>
      <c r="N7" s="57"/>
      <c r="O7" s="57"/>
    </row>
    <row r="8" spans="1:15" ht="19.5">
      <c r="A8" s="169" t="s">
        <v>201</v>
      </c>
      <c r="B8" s="169"/>
      <c r="C8" s="169"/>
      <c r="D8" s="207" t="s">
        <v>195</v>
      </c>
      <c r="E8" s="207"/>
      <c r="F8" s="207"/>
      <c r="G8" s="207"/>
      <c r="H8" s="207"/>
      <c r="I8" s="207"/>
      <c r="L8" s="57"/>
      <c r="M8" s="57"/>
      <c r="N8" s="57"/>
      <c r="O8" s="57"/>
    </row>
    <row r="9" spans="1:15" ht="19.5">
      <c r="A9" s="169"/>
      <c r="B9" s="169"/>
      <c r="C9" s="169"/>
      <c r="D9" s="168"/>
      <c r="E9" s="166" t="s">
        <v>104</v>
      </c>
      <c r="F9" s="166" t="s">
        <v>108</v>
      </c>
      <c r="G9" s="166" t="s">
        <v>105</v>
      </c>
      <c r="H9" s="166" t="s">
        <v>106</v>
      </c>
      <c r="I9" s="166" t="s">
        <v>107</v>
      </c>
      <c r="L9" s="57"/>
      <c r="M9" s="57"/>
      <c r="N9" s="57"/>
      <c r="O9" s="57"/>
    </row>
    <row r="10" spans="1:15" ht="19.5">
      <c r="A10" s="199" t="s">
        <v>178</v>
      </c>
      <c r="B10" s="199"/>
      <c r="C10" s="199"/>
      <c r="D10" s="199"/>
      <c r="E10" s="166" t="s">
        <v>191</v>
      </c>
      <c r="F10" s="166" t="s">
        <v>191</v>
      </c>
      <c r="G10" s="166" t="s">
        <v>191</v>
      </c>
      <c r="H10" s="166"/>
      <c r="I10" s="166"/>
      <c r="L10" s="57"/>
      <c r="M10" s="57"/>
      <c r="N10" s="57"/>
      <c r="O10" s="57"/>
    </row>
    <row r="11" spans="1:15" ht="19.5">
      <c r="A11" s="199" t="s">
        <v>190</v>
      </c>
      <c r="B11" s="199"/>
      <c r="C11" s="199"/>
      <c r="D11" s="199"/>
      <c r="E11" s="12">
        <v>5</v>
      </c>
      <c r="F11" s="12">
        <v>5</v>
      </c>
      <c r="G11" s="12">
        <v>5</v>
      </c>
      <c r="H11" s="166"/>
      <c r="I11" s="166"/>
    </row>
    <row r="12" spans="1:15" ht="19.5">
      <c r="A12" s="199" t="s">
        <v>179</v>
      </c>
      <c r="B12" s="199"/>
      <c r="C12" s="199"/>
      <c r="D12" s="199"/>
      <c r="E12" s="166" t="s">
        <v>192</v>
      </c>
      <c r="F12" s="166" t="s">
        <v>193</v>
      </c>
      <c r="G12" s="166" t="s">
        <v>194</v>
      </c>
      <c r="H12" s="166"/>
      <c r="I12" s="166"/>
    </row>
    <row r="13" spans="1:15" ht="19.5">
      <c r="A13" s="199" t="s">
        <v>180</v>
      </c>
      <c r="B13" s="199"/>
      <c r="C13" s="199"/>
      <c r="D13" s="199"/>
      <c r="E13" s="166" t="s">
        <v>193</v>
      </c>
      <c r="F13" s="166" t="s">
        <v>193</v>
      </c>
      <c r="G13" s="166" t="s">
        <v>193</v>
      </c>
      <c r="H13" s="166"/>
      <c r="I13" s="166"/>
    </row>
    <row r="14" spans="1:15" ht="19.5">
      <c r="A14" s="199" t="s">
        <v>159</v>
      </c>
      <c r="B14" s="199"/>
      <c r="C14" s="199"/>
      <c r="D14" s="199"/>
      <c r="E14" s="12">
        <v>1942.6</v>
      </c>
      <c r="F14" s="12">
        <v>1942.6</v>
      </c>
      <c r="G14" s="12">
        <v>1942.6</v>
      </c>
      <c r="H14" s="166"/>
      <c r="I14" s="166"/>
    </row>
    <row r="15" spans="1:15" ht="19.5">
      <c r="A15" s="199" t="s">
        <v>181</v>
      </c>
      <c r="B15" s="199"/>
      <c r="C15" s="199"/>
      <c r="D15" s="199"/>
      <c r="E15" s="12">
        <v>3962.6</v>
      </c>
      <c r="F15" s="12">
        <v>3952.7</v>
      </c>
      <c r="G15" s="12">
        <v>3964.2</v>
      </c>
      <c r="H15" s="166"/>
      <c r="I15" s="166"/>
    </row>
    <row r="16" spans="1:15" ht="21">
      <c r="A16" s="199" t="s">
        <v>182</v>
      </c>
      <c r="B16" s="199"/>
      <c r="C16" s="199"/>
      <c r="D16" s="199"/>
      <c r="E16" s="12">
        <v>943</v>
      </c>
      <c r="F16" s="12">
        <v>943</v>
      </c>
      <c r="G16" s="12">
        <v>943</v>
      </c>
      <c r="H16" s="166"/>
      <c r="I16" s="166"/>
    </row>
    <row r="17" spans="1:9" ht="21">
      <c r="A17" s="199" t="s">
        <v>183</v>
      </c>
      <c r="B17" s="199"/>
      <c r="C17" s="199"/>
      <c r="D17" s="199"/>
      <c r="E17" s="167">
        <f>(E15-E14)/E16</f>
        <v>2.1420996818663838</v>
      </c>
      <c r="F17" s="167">
        <f t="shared" ref="F17:G17" si="0">(F15-F14)/F16</f>
        <v>2.1316012725344642</v>
      </c>
      <c r="G17" s="167">
        <f t="shared" si="0"/>
        <v>2.1437963944856837</v>
      </c>
      <c r="H17" s="166"/>
      <c r="I17" s="166"/>
    </row>
    <row r="18" spans="1:9" ht="19.5">
      <c r="A18" s="57"/>
      <c r="B18" s="57"/>
      <c r="C18" s="57"/>
      <c r="D18" s="57"/>
      <c r="E18" s="166"/>
      <c r="F18" s="166"/>
      <c r="G18" s="166"/>
      <c r="H18" s="166"/>
      <c r="I18" s="166"/>
    </row>
    <row r="19" spans="1:9" ht="19.5">
      <c r="A19" s="199" t="s">
        <v>184</v>
      </c>
      <c r="B19" s="199"/>
      <c r="C19" s="199"/>
      <c r="D19" s="199"/>
      <c r="E19" s="166">
        <v>235.6</v>
      </c>
      <c r="F19" s="166">
        <v>235.6</v>
      </c>
      <c r="G19" s="166">
        <v>235.6</v>
      </c>
      <c r="H19" s="166"/>
      <c r="I19" s="166"/>
    </row>
    <row r="20" spans="1:9" ht="19.5">
      <c r="A20" s="199" t="s">
        <v>186</v>
      </c>
      <c r="B20" s="199"/>
      <c r="C20" s="199"/>
      <c r="D20" s="199"/>
      <c r="E20" s="12">
        <v>2251.4</v>
      </c>
      <c r="F20" s="12">
        <v>2238.6</v>
      </c>
      <c r="G20" s="12">
        <v>2248.5</v>
      </c>
      <c r="H20" s="166"/>
      <c r="I20" s="166"/>
    </row>
    <row r="21" spans="1:9" ht="19.5">
      <c r="A21" s="199" t="s">
        <v>185</v>
      </c>
      <c r="B21" s="199"/>
      <c r="C21" s="199"/>
      <c r="D21" s="199"/>
      <c r="E21" s="12">
        <v>1941.3</v>
      </c>
      <c r="F21" s="12">
        <v>1934.3</v>
      </c>
      <c r="G21" s="12">
        <v>1930.1</v>
      </c>
      <c r="H21" s="166"/>
      <c r="I21" s="166"/>
    </row>
    <row r="22" spans="1:9" ht="19.5">
      <c r="A22" s="199" t="s">
        <v>137</v>
      </c>
      <c r="B22" s="199"/>
      <c r="C22" s="199"/>
      <c r="D22" s="199"/>
      <c r="E22" s="166">
        <f>(E20-E21)*100/(E21-E19)</f>
        <v>18.180219264817971</v>
      </c>
      <c r="F22" s="166">
        <f>(F20-F21)*100/(F21-F19)</f>
        <v>17.913698710778828</v>
      </c>
      <c r="G22" s="166">
        <f>(G20-G21)*100/(G21-G19)</f>
        <v>18.790203599881977</v>
      </c>
      <c r="H22" s="166"/>
      <c r="I22" s="166"/>
    </row>
    <row r="23" spans="1:9" ht="19.5">
      <c r="A23" s="57"/>
      <c r="B23" s="57"/>
      <c r="C23" s="57"/>
      <c r="D23" s="57"/>
      <c r="E23" s="166"/>
      <c r="F23" s="166"/>
      <c r="G23" s="166"/>
      <c r="H23" s="166"/>
      <c r="I23" s="166"/>
    </row>
    <row r="24" spans="1:9" ht="21">
      <c r="A24" s="209" t="s">
        <v>188</v>
      </c>
      <c r="B24" s="209"/>
      <c r="C24" s="209"/>
      <c r="D24" s="209"/>
      <c r="E24" s="170">
        <f>E17/(1+E22/100)</f>
        <v>1.8125704074608051</v>
      </c>
      <c r="F24" s="170">
        <f>F17/(1+F22/100)</f>
        <v>1.8077638949846702</v>
      </c>
      <c r="G24" s="170">
        <f>G17/(1+G22/100)</f>
        <v>1.8046912367509518</v>
      </c>
      <c r="H24" s="170"/>
      <c r="I24" s="170"/>
    </row>
    <row r="25" spans="1:9">
      <c r="A25" s="57"/>
      <c r="B25" s="57"/>
      <c r="C25" s="57"/>
      <c r="D25" s="57"/>
      <c r="E25" s="11"/>
      <c r="F25" s="11"/>
      <c r="G25" s="11"/>
      <c r="H25" s="11"/>
      <c r="I25" s="11"/>
    </row>
    <row r="26" spans="1:9" ht="19.5">
      <c r="A26" s="57" t="s">
        <v>351</v>
      </c>
      <c r="B26" s="57"/>
      <c r="C26" s="57"/>
      <c r="D26" s="57"/>
      <c r="E26" s="166" t="s">
        <v>104</v>
      </c>
      <c r="F26" s="166" t="s">
        <v>108</v>
      </c>
      <c r="G26" s="166" t="s">
        <v>105</v>
      </c>
      <c r="H26" s="166" t="s">
        <v>106</v>
      </c>
      <c r="I26" s="166" t="s">
        <v>107</v>
      </c>
    </row>
    <row r="27" spans="1:9" ht="19.5">
      <c r="A27" s="199" t="s">
        <v>159</v>
      </c>
      <c r="B27" s="199"/>
      <c r="C27" s="199"/>
      <c r="D27" s="199"/>
      <c r="E27" s="12">
        <v>1942.6</v>
      </c>
      <c r="F27" s="12">
        <v>1942.6</v>
      </c>
      <c r="G27" s="12">
        <v>1942.6</v>
      </c>
      <c r="H27" s="12"/>
      <c r="I27" s="12"/>
    </row>
    <row r="28" spans="1:9" ht="19.5">
      <c r="A28" s="199" t="s">
        <v>187</v>
      </c>
      <c r="B28" s="199"/>
      <c r="C28" s="199"/>
      <c r="D28" s="199"/>
      <c r="E28" s="12">
        <v>3245.7</v>
      </c>
      <c r="F28" s="12">
        <v>3247.3</v>
      </c>
      <c r="G28" s="12">
        <v>3244.1</v>
      </c>
      <c r="H28" s="12"/>
      <c r="I28" s="12"/>
    </row>
    <row r="29" spans="1:9" ht="21">
      <c r="A29" s="199" t="s">
        <v>182</v>
      </c>
      <c r="B29" s="199"/>
      <c r="C29" s="199"/>
      <c r="D29" s="199"/>
      <c r="E29" s="12">
        <v>943</v>
      </c>
      <c r="F29" s="12">
        <v>943</v>
      </c>
      <c r="G29" s="12">
        <v>943</v>
      </c>
      <c r="H29" s="166"/>
      <c r="I29" s="166"/>
    </row>
    <row r="30" spans="1:9" ht="21">
      <c r="A30" s="209" t="s">
        <v>189</v>
      </c>
      <c r="B30" s="209"/>
      <c r="C30" s="209"/>
      <c r="D30" s="209"/>
      <c r="E30" s="170">
        <f>(E28-E27)/E29</f>
        <v>1.38186638388123</v>
      </c>
      <c r="F30" s="63">
        <f>(F28-F27)/F29</f>
        <v>1.3835630965005306</v>
      </c>
      <c r="G30" s="63">
        <f>(G28-G27)/G29</f>
        <v>1.38016967126193</v>
      </c>
      <c r="H30" s="170"/>
      <c r="I30" s="170"/>
    </row>
  </sheetData>
  <mergeCells count="27">
    <mergeCell ref="L6:N6"/>
    <mergeCell ref="A14:D14"/>
    <mergeCell ref="D8:I8"/>
    <mergeCell ref="A1:I1"/>
    <mergeCell ref="A2:B2"/>
    <mergeCell ref="C2:I2"/>
    <mergeCell ref="A3:B3"/>
    <mergeCell ref="C3:E3"/>
    <mergeCell ref="B4:C4"/>
    <mergeCell ref="E4:I4"/>
    <mergeCell ref="A5:I5"/>
    <mergeCell ref="A10:D10"/>
    <mergeCell ref="A11:D11"/>
    <mergeCell ref="A12:D12"/>
    <mergeCell ref="A13:D13"/>
    <mergeCell ref="A30:D30"/>
    <mergeCell ref="A15:D15"/>
    <mergeCell ref="A16:D16"/>
    <mergeCell ref="A17:D17"/>
    <mergeCell ref="A19:D19"/>
    <mergeCell ref="A20:D20"/>
    <mergeCell ref="A21:D21"/>
    <mergeCell ref="A22:D22"/>
    <mergeCell ref="A24:D24"/>
    <mergeCell ref="A27:D27"/>
    <mergeCell ref="A28:D28"/>
    <mergeCell ref="A29:D29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>
      <selection activeCell="K24" sqref="K24"/>
    </sheetView>
  </sheetViews>
  <sheetFormatPr defaultRowHeight="15"/>
  <cols>
    <col min="1" max="1" width="12" bestFit="1" customWidth="1"/>
    <col min="6" max="6" width="9.42578125" customWidth="1"/>
  </cols>
  <sheetData>
    <row r="1" spans="1:8" ht="19.5">
      <c r="A1" s="229" t="s">
        <v>100</v>
      </c>
      <c r="B1" s="229"/>
      <c r="C1" s="229"/>
      <c r="D1" s="229"/>
      <c r="E1" s="229"/>
      <c r="F1" s="229"/>
      <c r="G1" s="5"/>
      <c r="H1" s="5"/>
    </row>
    <row r="2" spans="1:8" ht="19.5">
      <c r="A2" s="228" t="s">
        <v>94</v>
      </c>
      <c r="B2" s="249"/>
      <c r="C2" s="249"/>
      <c r="D2" s="249"/>
      <c r="E2" s="249"/>
      <c r="F2" s="249"/>
      <c r="G2" s="1"/>
      <c r="H2" s="1"/>
    </row>
    <row r="3" spans="1:8" ht="19.5">
      <c r="A3" s="228" t="s">
        <v>93</v>
      </c>
      <c r="B3" s="228"/>
      <c r="C3" s="228"/>
      <c r="D3" s="42" t="s">
        <v>101</v>
      </c>
      <c r="E3" s="42"/>
      <c r="F3" s="42"/>
      <c r="G3" s="1"/>
      <c r="H3" s="1"/>
    </row>
    <row r="4" spans="1:8" s="39" customFormat="1">
      <c r="A4" s="228" t="s">
        <v>95</v>
      </c>
      <c r="B4" s="228"/>
      <c r="C4" s="228"/>
      <c r="D4" s="228"/>
      <c r="E4" s="228"/>
      <c r="F4" s="228"/>
      <c r="G4" s="43"/>
      <c r="H4" s="43"/>
    </row>
    <row r="5" spans="1:8" s="39" customFormat="1">
      <c r="A5" s="44"/>
      <c r="B5" s="44"/>
      <c r="C5" s="44"/>
      <c r="D5" s="44"/>
      <c r="E5" s="44"/>
      <c r="F5" s="44"/>
      <c r="G5" s="45"/>
      <c r="H5" s="45"/>
    </row>
    <row r="6" spans="1:8" s="39" customFormat="1">
      <c r="A6" s="15" t="s">
        <v>102</v>
      </c>
      <c r="B6" s="15" t="s">
        <v>104</v>
      </c>
      <c r="C6" s="15" t="s">
        <v>108</v>
      </c>
      <c r="D6" s="15" t="s">
        <v>105</v>
      </c>
      <c r="E6" s="15" t="s">
        <v>106</v>
      </c>
      <c r="F6" s="15" t="s">
        <v>107</v>
      </c>
      <c r="G6" s="15" t="s">
        <v>109</v>
      </c>
      <c r="H6" s="15" t="s">
        <v>113</v>
      </c>
    </row>
    <row r="7" spans="1:8" s="39" customFormat="1" ht="15.75">
      <c r="A7" s="46" t="s">
        <v>103</v>
      </c>
      <c r="B7" s="46"/>
      <c r="C7" s="46"/>
      <c r="D7" s="46"/>
      <c r="E7" s="46"/>
      <c r="F7" s="46"/>
      <c r="G7" s="46" t="s">
        <v>110</v>
      </c>
      <c r="H7" s="46" t="s">
        <v>114</v>
      </c>
    </row>
    <row r="8" spans="1:8" s="39" customFormat="1" ht="19.5">
      <c r="A8" s="11" t="s">
        <v>112</v>
      </c>
      <c r="B8" s="135">
        <v>9.8000000000000007</v>
      </c>
      <c r="C8" s="134">
        <v>9.81</v>
      </c>
      <c r="D8" s="134">
        <v>9.7899999999999991</v>
      </c>
      <c r="E8" s="134">
        <v>9.7799999999999994</v>
      </c>
      <c r="F8" s="134">
        <v>9.82</v>
      </c>
      <c r="G8" s="135">
        <f>AVERAGE(B8:F8)</f>
        <v>9.8000000000000007</v>
      </c>
      <c r="H8" s="134">
        <v>23</v>
      </c>
    </row>
    <row r="9" spans="1:8" s="39" customFormat="1" ht="19.5">
      <c r="A9" s="11" t="s">
        <v>115</v>
      </c>
      <c r="B9" s="135">
        <v>7.3</v>
      </c>
      <c r="C9" s="134">
        <v>7.33</v>
      </c>
      <c r="D9" s="134">
        <v>7.32</v>
      </c>
      <c r="E9" s="134">
        <v>7.31</v>
      </c>
      <c r="F9" s="134">
        <v>7.32</v>
      </c>
      <c r="G9" s="135">
        <f t="shared" ref="G9:G10" si="0">AVERAGE(B9:F9)</f>
        <v>7.3159999999999998</v>
      </c>
      <c r="H9" s="134">
        <v>23</v>
      </c>
    </row>
    <row r="10" spans="1:8" s="39" customFormat="1" ht="19.5">
      <c r="A10" s="11" t="s">
        <v>116</v>
      </c>
      <c r="B10" s="135">
        <v>8.4499999999999993</v>
      </c>
      <c r="C10" s="134">
        <v>8.44</v>
      </c>
      <c r="D10" s="134">
        <v>8.4499999999999993</v>
      </c>
      <c r="E10" s="134">
        <v>8.44</v>
      </c>
      <c r="F10" s="134">
        <v>8.44</v>
      </c>
      <c r="G10" s="135">
        <f t="shared" si="0"/>
        <v>8.4439999999999991</v>
      </c>
      <c r="H10" s="134">
        <v>23</v>
      </c>
    </row>
    <row r="11" spans="1:8" s="39" customFormat="1" ht="19.5">
      <c r="A11" s="46" t="s">
        <v>111</v>
      </c>
      <c r="B11" s="47">
        <v>8.1999999999999993</v>
      </c>
      <c r="C11" s="136">
        <v>8.2100000000000009</v>
      </c>
      <c r="D11" s="136">
        <v>8.2200000000000006</v>
      </c>
      <c r="E11" s="136">
        <v>8.2100000000000009</v>
      </c>
      <c r="F11" s="47">
        <v>8.2100000000000009</v>
      </c>
      <c r="G11" s="47">
        <f>AVERAGE(B11:F11)</f>
        <v>8.2100000000000009</v>
      </c>
      <c r="H11" s="136">
        <v>23</v>
      </c>
    </row>
    <row r="12" spans="1:8" s="39" customFormat="1">
      <c r="A12" s="41"/>
      <c r="B12" s="9"/>
      <c r="C12" s="9"/>
      <c r="D12" s="9"/>
      <c r="E12" s="9"/>
      <c r="F12" s="9"/>
      <c r="H12" s="9"/>
    </row>
    <row r="13" spans="1:8" s="39" customFormat="1">
      <c r="A13" s="41"/>
      <c r="B13" s="9"/>
      <c r="C13" s="9"/>
      <c r="D13" s="9"/>
      <c r="E13" s="9"/>
      <c r="F13" s="9"/>
      <c r="H13" s="9"/>
    </row>
    <row r="14" spans="1:8" s="39" customFormat="1">
      <c r="A14" s="41"/>
      <c r="B14" s="9"/>
      <c r="C14" s="9"/>
      <c r="D14" s="9"/>
      <c r="E14" s="9"/>
      <c r="F14" s="9"/>
      <c r="H14" s="9"/>
    </row>
    <row r="15" spans="1:8" ht="15.75">
      <c r="A15" s="41"/>
      <c r="B15" s="9"/>
      <c r="C15" s="9"/>
      <c r="D15" s="9"/>
      <c r="E15" s="9"/>
      <c r="F15" s="9"/>
      <c r="H15" s="2"/>
    </row>
    <row r="16" spans="1:8" ht="15.75">
      <c r="A16" s="41"/>
      <c r="B16" s="9"/>
      <c r="C16" s="9"/>
      <c r="D16" s="9"/>
      <c r="E16" s="9"/>
      <c r="F16" s="9"/>
      <c r="H16" s="2"/>
    </row>
    <row r="17" spans="1:8" ht="15.75">
      <c r="A17" s="41"/>
      <c r="B17" s="9"/>
      <c r="C17" s="9"/>
      <c r="D17" s="9"/>
      <c r="E17" s="9"/>
      <c r="F17" s="9"/>
      <c r="H17" s="2"/>
    </row>
    <row r="18" spans="1:8" ht="15.75">
      <c r="A18" s="41"/>
      <c r="B18" s="9"/>
      <c r="C18" s="9"/>
      <c r="D18" s="9"/>
      <c r="E18" s="9"/>
      <c r="F18" s="9"/>
      <c r="H18" s="2"/>
    </row>
    <row r="19" spans="1:8" ht="15.75">
      <c r="A19" s="41"/>
      <c r="B19" s="9"/>
      <c r="C19" s="9"/>
      <c r="D19" s="9"/>
      <c r="E19" s="9"/>
      <c r="F19" s="9"/>
    </row>
    <row r="20" spans="1:8" ht="15.75">
      <c r="A20" s="9"/>
      <c r="B20" s="9"/>
      <c r="C20" s="9"/>
      <c r="D20" s="9"/>
      <c r="E20" s="9"/>
      <c r="F20" s="9"/>
    </row>
    <row r="21" spans="1:8" ht="15.75">
      <c r="A21" s="9"/>
      <c r="B21" s="9"/>
      <c r="C21" s="9"/>
      <c r="D21" s="9"/>
      <c r="E21" s="9"/>
      <c r="F21" s="9"/>
    </row>
    <row r="22" spans="1:8" ht="15.75">
      <c r="A22" s="9"/>
      <c r="B22" s="9"/>
      <c r="C22" s="9"/>
      <c r="D22" s="9"/>
      <c r="E22" s="9"/>
      <c r="F22" s="9"/>
    </row>
  </sheetData>
  <mergeCells count="4">
    <mergeCell ref="A1:F1"/>
    <mergeCell ref="A2:F2"/>
    <mergeCell ref="A3:C3"/>
    <mergeCell ref="A4:F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Normal="100" workbookViewId="0">
      <selection activeCell="L24" sqref="L24"/>
    </sheetView>
  </sheetViews>
  <sheetFormatPr defaultRowHeight="15"/>
  <cols>
    <col min="1" max="3" width="9.140625" style="9"/>
    <col min="4" max="4" width="10.140625" style="9" customWidth="1"/>
    <col min="5" max="5" width="9.85546875" style="9" customWidth="1"/>
    <col min="6" max="6" width="9.7109375" style="9" customWidth="1"/>
    <col min="7" max="7" width="10" style="9" customWidth="1"/>
    <col min="8" max="8" width="9.5703125" style="9" bestFit="1" customWidth="1"/>
    <col min="9" max="16384" width="9.140625" style="9"/>
  </cols>
  <sheetData>
    <row r="1" spans="1:9" ht="19.5">
      <c r="A1" s="206" t="s">
        <v>222</v>
      </c>
      <c r="B1" s="206"/>
      <c r="C1" s="206"/>
      <c r="D1" s="206"/>
      <c r="E1" s="206"/>
      <c r="F1" s="206"/>
      <c r="G1" s="206"/>
      <c r="H1" s="206"/>
      <c r="I1" s="206"/>
    </row>
    <row r="2" spans="1:9" ht="19.5">
      <c r="A2" s="199" t="s">
        <v>220</v>
      </c>
      <c r="B2" s="199"/>
      <c r="C2" s="199"/>
      <c r="D2" s="199"/>
      <c r="E2" s="199"/>
      <c r="F2" s="199"/>
      <c r="G2" s="199"/>
      <c r="H2" s="199"/>
      <c r="I2" s="199"/>
    </row>
    <row r="3" spans="1:9" ht="19.5">
      <c r="A3" s="57" t="s">
        <v>202</v>
      </c>
      <c r="B3" s="57"/>
      <c r="C3" s="57"/>
      <c r="D3" s="57"/>
      <c r="E3" s="57"/>
      <c r="F3" s="210">
        <v>2.7</v>
      </c>
      <c r="G3" s="210"/>
      <c r="H3" s="210"/>
      <c r="I3" s="210"/>
    </row>
    <row r="4" spans="1:9" ht="19.5">
      <c r="A4" s="199" t="s">
        <v>204</v>
      </c>
      <c r="B4" s="199"/>
      <c r="C4" s="199"/>
      <c r="D4" s="199"/>
      <c r="E4" s="199"/>
      <c r="F4" s="199"/>
      <c r="G4" s="199"/>
      <c r="H4" s="199"/>
      <c r="I4" s="199"/>
    </row>
    <row r="5" spans="1:9" ht="21">
      <c r="A5" s="44" t="s">
        <v>206</v>
      </c>
      <c r="B5" s="208" t="s">
        <v>221</v>
      </c>
      <c r="C5" s="208"/>
      <c r="D5" s="208"/>
      <c r="E5" s="208"/>
      <c r="F5" s="208"/>
      <c r="G5" s="208"/>
      <c r="H5" s="208"/>
      <c r="I5" s="208"/>
    </row>
    <row r="6" spans="1:9" ht="19.5">
      <c r="A6" s="206" t="s">
        <v>211</v>
      </c>
      <c r="B6" s="206"/>
      <c r="C6" s="206"/>
      <c r="D6" s="206"/>
      <c r="E6" s="106">
        <v>125.6</v>
      </c>
      <c r="F6" s="200" t="s">
        <v>223</v>
      </c>
      <c r="G6" s="201"/>
      <c r="H6" s="201"/>
      <c r="I6" s="201"/>
    </row>
    <row r="7" spans="1:9" ht="19.5">
      <c r="A7" s="179" t="s">
        <v>212</v>
      </c>
      <c r="B7" s="179"/>
      <c r="C7" s="179"/>
      <c r="D7" s="181"/>
      <c r="E7" s="10">
        <v>75.5</v>
      </c>
      <c r="F7" s="202" t="s">
        <v>224</v>
      </c>
      <c r="G7" s="203"/>
      <c r="H7" s="203"/>
      <c r="I7" s="203"/>
    </row>
    <row r="8" spans="1:9" ht="21">
      <c r="A8" s="179" t="s">
        <v>225</v>
      </c>
      <c r="B8" s="179"/>
      <c r="C8" s="179"/>
      <c r="D8" s="181"/>
      <c r="E8" s="10">
        <f>(PI()/4)*E7*E7/100</f>
        <v>44.769658809063039</v>
      </c>
      <c r="F8" s="202"/>
      <c r="G8" s="203"/>
      <c r="H8" s="203"/>
      <c r="I8" s="203"/>
    </row>
    <row r="9" spans="1:9" ht="21">
      <c r="A9" s="209" t="s">
        <v>226</v>
      </c>
      <c r="B9" s="209"/>
      <c r="C9" s="209"/>
      <c r="D9" s="209"/>
      <c r="E9" s="187">
        <v>8.0399999999999999E-2</v>
      </c>
      <c r="F9" s="211"/>
      <c r="G9" s="212"/>
      <c r="H9" s="212"/>
      <c r="I9" s="212"/>
    </row>
    <row r="10" spans="1:9" ht="19.5">
      <c r="A10" s="199" t="s">
        <v>17</v>
      </c>
      <c r="B10" s="199"/>
      <c r="C10" s="199"/>
      <c r="D10" s="180">
        <v>1</v>
      </c>
      <c r="E10" s="180">
        <v>2</v>
      </c>
      <c r="F10" s="180">
        <v>3</v>
      </c>
      <c r="G10" s="180">
        <v>4</v>
      </c>
      <c r="H10" s="180">
        <v>5</v>
      </c>
      <c r="I10" s="180">
        <v>6</v>
      </c>
    </row>
    <row r="11" spans="1:9" ht="20.25">
      <c r="A11" s="199" t="s">
        <v>227</v>
      </c>
      <c r="B11" s="199"/>
      <c r="C11" s="199"/>
      <c r="D11" s="180">
        <v>795</v>
      </c>
      <c r="E11" s="180">
        <v>867</v>
      </c>
      <c r="F11" s="180">
        <v>840</v>
      </c>
      <c r="G11" s="180">
        <v>920</v>
      </c>
      <c r="H11" s="180">
        <v>880</v>
      </c>
      <c r="I11" s="180"/>
    </row>
    <row r="12" spans="1:9" ht="20.25">
      <c r="A12" s="199" t="s">
        <v>228</v>
      </c>
      <c r="B12" s="199"/>
      <c r="C12" s="199"/>
      <c r="D12" s="180">
        <v>621</v>
      </c>
      <c r="E12" s="180">
        <v>613</v>
      </c>
      <c r="F12" s="180">
        <v>680</v>
      </c>
      <c r="G12" s="180">
        <v>745</v>
      </c>
      <c r="H12" s="180">
        <v>690</v>
      </c>
      <c r="I12" s="180"/>
    </row>
    <row r="13" spans="1:9" ht="20.25">
      <c r="A13" s="199" t="s">
        <v>229</v>
      </c>
      <c r="B13" s="199"/>
      <c r="C13" s="199"/>
      <c r="D13" s="180">
        <v>300</v>
      </c>
      <c r="E13" s="180">
        <v>450</v>
      </c>
      <c r="F13" s="180">
        <v>300</v>
      </c>
      <c r="G13" s="180">
        <v>300</v>
      </c>
      <c r="H13" s="180">
        <v>300</v>
      </c>
      <c r="I13" s="180"/>
    </row>
    <row r="14" spans="1:9" ht="19.5">
      <c r="A14" s="182" t="s">
        <v>213</v>
      </c>
      <c r="B14" s="182"/>
      <c r="C14" s="182"/>
      <c r="D14" s="180">
        <v>26</v>
      </c>
      <c r="E14" s="180">
        <v>26</v>
      </c>
      <c r="F14" s="180">
        <v>26</v>
      </c>
      <c r="G14" s="180">
        <v>26</v>
      </c>
      <c r="H14" s="180">
        <v>26</v>
      </c>
      <c r="I14" s="180"/>
    </row>
    <row r="15" spans="1:9" ht="20.25">
      <c r="A15" s="199" t="s">
        <v>230</v>
      </c>
      <c r="B15" s="199"/>
      <c r="C15" s="199"/>
      <c r="D15" s="71">
        <f>(($E$9*$E$6)/(10*$E$8*D13))*LN(D11/D12)</f>
        <v>1.8571928380492615E-5</v>
      </c>
      <c r="E15" s="71">
        <f>(($E$9*$E$6)/(10*$E$8*E13))*LN(E11/E12)</f>
        <v>1.7376836402857927E-5</v>
      </c>
      <c r="F15" s="71">
        <f>(($E$9*$E$6)/(10*$E$8*F13))*LN(F11/F12)</f>
        <v>1.5887619716845415E-5</v>
      </c>
      <c r="G15" s="71">
        <f>(($E$9*$E$6)/(10*$E$8*G13))*LN(G11/G12)</f>
        <v>1.586358691015512E-5</v>
      </c>
      <c r="H15" s="71">
        <f>(($E$9*$E$6)/(10*$E$8*H13))*LN(H11/H12)</f>
        <v>1.8287668551950552E-5</v>
      </c>
      <c r="I15" s="180"/>
    </row>
    <row r="16" spans="1:9" ht="20.25">
      <c r="A16" s="199" t="s">
        <v>216</v>
      </c>
      <c r="B16" s="199"/>
      <c r="C16" s="199"/>
      <c r="D16" s="180">
        <v>0.86699999999999999</v>
      </c>
      <c r="E16" s="180">
        <v>0.86699999999999999</v>
      </c>
      <c r="F16" s="180">
        <v>0.86699999999999999</v>
      </c>
      <c r="G16" s="180">
        <v>0.86699999999999999</v>
      </c>
      <c r="H16" s="180">
        <v>0.86699999999999999</v>
      </c>
      <c r="I16" s="180"/>
    </row>
    <row r="17" spans="1:9" ht="20.25">
      <c r="A17" s="209" t="s">
        <v>231</v>
      </c>
      <c r="B17" s="209"/>
      <c r="C17" s="209"/>
      <c r="D17" s="72">
        <f>D15*D16</f>
        <v>1.6101861905887096E-5</v>
      </c>
      <c r="E17" s="72">
        <f t="shared" ref="E17:H17" si="0">E15*E16</f>
        <v>1.5065717161277823E-5</v>
      </c>
      <c r="F17" s="72">
        <f t="shared" si="0"/>
        <v>1.3774566294504974E-5</v>
      </c>
      <c r="G17" s="72">
        <f t="shared" si="0"/>
        <v>1.3753729851104488E-5</v>
      </c>
      <c r="H17" s="72">
        <f t="shared" si="0"/>
        <v>1.5855408634541128E-5</v>
      </c>
      <c r="I17" s="64"/>
    </row>
  </sheetData>
  <mergeCells count="18">
    <mergeCell ref="A16:C16"/>
    <mergeCell ref="A17:C17"/>
    <mergeCell ref="A9:D9"/>
    <mergeCell ref="A11:C11"/>
    <mergeCell ref="F9:I9"/>
    <mergeCell ref="A15:C15"/>
    <mergeCell ref="F7:I7"/>
    <mergeCell ref="F8:I8"/>
    <mergeCell ref="A10:C10"/>
    <mergeCell ref="A12:C12"/>
    <mergeCell ref="A13:C13"/>
    <mergeCell ref="A6:D6"/>
    <mergeCell ref="F6:I6"/>
    <mergeCell ref="A1:I1"/>
    <mergeCell ref="A2:I2"/>
    <mergeCell ref="F3:I3"/>
    <mergeCell ref="A4:I4"/>
    <mergeCell ref="B5:I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showGridLines="0" workbookViewId="0">
      <selection activeCell="I40" sqref="I40"/>
    </sheetView>
  </sheetViews>
  <sheetFormatPr defaultRowHeight="15"/>
  <cols>
    <col min="1" max="8" width="9.140625" style="9"/>
    <col min="9" max="9" width="9.5703125" style="9" bestFit="1" customWidth="1"/>
    <col min="10" max="10" width="9.140625" style="9"/>
    <col min="11" max="11" width="12.140625" style="9" bestFit="1" customWidth="1"/>
    <col min="12" max="12" width="12.28515625" style="9" customWidth="1"/>
    <col min="13" max="16384" width="9.140625" style="9"/>
  </cols>
  <sheetData>
    <row r="1" spans="1:18" ht="19.5">
      <c r="A1" s="184" t="s">
        <v>33</v>
      </c>
      <c r="B1" s="185"/>
      <c r="C1" s="186"/>
      <c r="D1" s="186" t="s">
        <v>256</v>
      </c>
      <c r="E1" s="186"/>
      <c r="F1" s="186"/>
      <c r="G1" s="186"/>
      <c r="H1" s="186"/>
      <c r="I1" s="56"/>
      <c r="J1" s="74"/>
      <c r="K1" s="75" t="s">
        <v>264</v>
      </c>
      <c r="L1" s="93" t="s">
        <v>265</v>
      </c>
      <c r="M1" s="93" t="s">
        <v>266</v>
      </c>
      <c r="N1" s="93"/>
      <c r="O1" s="93"/>
      <c r="P1" s="93"/>
      <c r="Q1" s="1"/>
      <c r="R1" s="57"/>
    </row>
    <row r="2" spans="1:18" ht="19.5">
      <c r="A2" s="217" t="s">
        <v>13</v>
      </c>
      <c r="B2" s="213"/>
      <c r="C2" s="207" t="s">
        <v>15</v>
      </c>
      <c r="D2" s="207"/>
      <c r="E2" s="3"/>
      <c r="F2" s="3"/>
      <c r="G2" s="3"/>
      <c r="H2" s="57"/>
      <c r="I2" s="58"/>
      <c r="J2" s="75"/>
      <c r="K2" s="97">
        <v>2.5000000000000001E-2</v>
      </c>
      <c r="L2" s="98">
        <v>3.6760000000000002</v>
      </c>
      <c r="M2" s="73">
        <f>SQRT(K2)</f>
        <v>0.15811388300841897</v>
      </c>
      <c r="N2" s="73"/>
      <c r="O2" s="73"/>
      <c r="P2" s="73"/>
      <c r="Q2" s="1"/>
      <c r="R2" s="57"/>
    </row>
    <row r="3" spans="1:18" ht="19.5">
      <c r="A3" s="68" t="s">
        <v>34</v>
      </c>
      <c r="B3" s="69"/>
      <c r="C3" s="207" t="s">
        <v>255</v>
      </c>
      <c r="D3" s="207"/>
      <c r="E3" s="3"/>
      <c r="F3" s="3"/>
      <c r="G3" s="3"/>
      <c r="H3" s="57"/>
      <c r="I3" s="58"/>
      <c r="J3" s="75"/>
      <c r="K3" s="95">
        <v>0.25</v>
      </c>
      <c r="L3" s="98">
        <v>3.69</v>
      </c>
      <c r="M3" s="73">
        <f t="shared" ref="M3:M18" si="0">SQRT(K3)</f>
        <v>0.5</v>
      </c>
      <c r="N3" s="73"/>
      <c r="O3" s="73"/>
      <c r="P3" s="73"/>
      <c r="Q3" s="1"/>
      <c r="R3" s="57"/>
    </row>
    <row r="4" spans="1:18" ht="19.5">
      <c r="A4" s="217" t="s">
        <v>11</v>
      </c>
      <c r="B4" s="213"/>
      <c r="C4" s="220">
        <v>38423</v>
      </c>
      <c r="D4" s="220"/>
      <c r="E4" s="3"/>
      <c r="F4" s="3"/>
      <c r="G4" s="3"/>
      <c r="H4" s="57"/>
      <c r="I4" s="58"/>
      <c r="J4" s="74"/>
      <c r="K4" s="96">
        <v>0.5</v>
      </c>
      <c r="L4" s="98">
        <v>3.718</v>
      </c>
      <c r="M4" s="73">
        <f t="shared" si="0"/>
        <v>0.70710678118654757</v>
      </c>
      <c r="N4" s="3"/>
      <c r="O4" s="3"/>
      <c r="P4" s="3"/>
      <c r="Q4" s="1"/>
      <c r="R4" s="57"/>
    </row>
    <row r="5" spans="1:18" ht="19.5">
      <c r="A5" s="217" t="s">
        <v>12</v>
      </c>
      <c r="B5" s="213"/>
      <c r="C5" s="70" t="s">
        <v>16</v>
      </c>
      <c r="D5" s="70"/>
      <c r="E5" s="3"/>
      <c r="F5" s="3"/>
      <c r="G5" s="3"/>
      <c r="H5" s="57"/>
      <c r="I5" s="58"/>
      <c r="J5" s="75"/>
      <c r="K5" s="103">
        <v>1</v>
      </c>
      <c r="L5" s="98">
        <v>3.7559999999999998</v>
      </c>
      <c r="M5" s="73">
        <f t="shared" si="0"/>
        <v>1</v>
      </c>
      <c r="N5" s="3"/>
      <c r="O5" s="3"/>
      <c r="P5" s="3"/>
      <c r="Q5" s="1"/>
      <c r="R5" s="57"/>
    </row>
    <row r="6" spans="1:18" ht="19.5">
      <c r="A6" s="218" t="s">
        <v>28</v>
      </c>
      <c r="B6" s="199"/>
      <c r="C6" s="1"/>
      <c r="D6" s="1"/>
      <c r="E6" s="1"/>
      <c r="F6" s="1"/>
      <c r="G6" s="1"/>
      <c r="H6" s="57"/>
      <c r="I6" s="58"/>
      <c r="J6" s="75"/>
      <c r="K6" s="103">
        <v>2</v>
      </c>
      <c r="L6" s="98">
        <v>3.806</v>
      </c>
      <c r="M6" s="73">
        <f t="shared" si="0"/>
        <v>1.4142135623730951</v>
      </c>
      <c r="N6" s="3"/>
      <c r="O6" s="3"/>
      <c r="P6" s="3"/>
      <c r="Q6" s="1"/>
      <c r="R6" s="57"/>
    </row>
    <row r="7" spans="1:18" ht="19.5">
      <c r="A7" s="214" t="s">
        <v>257</v>
      </c>
      <c r="B7" s="215"/>
      <c r="C7" s="215"/>
      <c r="D7" s="215"/>
      <c r="E7" s="215"/>
      <c r="F7" s="215"/>
      <c r="G7" s="55"/>
      <c r="H7" s="55"/>
      <c r="I7" s="56"/>
      <c r="J7" s="74"/>
      <c r="K7" s="103">
        <v>4</v>
      </c>
      <c r="L7" s="98">
        <v>3.8839999999999999</v>
      </c>
      <c r="M7" s="73">
        <f t="shared" si="0"/>
        <v>2</v>
      </c>
      <c r="N7" s="3"/>
      <c r="O7" s="3"/>
      <c r="P7" s="3"/>
      <c r="Q7" s="1"/>
      <c r="R7" s="57"/>
    </row>
    <row r="8" spans="1:18" ht="19.5">
      <c r="A8" s="65" t="s">
        <v>233</v>
      </c>
      <c r="B8" s="66"/>
      <c r="C8" s="66"/>
      <c r="D8" s="66"/>
      <c r="E8" s="171">
        <v>4.4000000000000004</v>
      </c>
      <c r="F8" s="199" t="s">
        <v>232</v>
      </c>
      <c r="G8" s="199"/>
      <c r="H8" s="199"/>
      <c r="I8" s="195">
        <v>1.8</v>
      </c>
      <c r="J8" s="74"/>
      <c r="K8" s="103">
        <v>8</v>
      </c>
      <c r="L8" s="98">
        <v>3.9830000000000001</v>
      </c>
      <c r="M8" s="73">
        <f t="shared" si="0"/>
        <v>2.8284271247461903</v>
      </c>
      <c r="N8" s="3"/>
      <c r="O8" s="3"/>
      <c r="P8" s="3"/>
      <c r="Q8" s="1"/>
      <c r="R8" s="57"/>
    </row>
    <row r="9" spans="1:18" ht="19.5">
      <c r="A9" s="218" t="s">
        <v>234</v>
      </c>
      <c r="B9" s="199"/>
      <c r="C9" s="199"/>
      <c r="D9" s="199"/>
      <c r="E9" s="199"/>
      <c r="F9" s="199"/>
      <c r="G9" s="199"/>
      <c r="H9" s="199"/>
      <c r="I9" s="196">
        <v>45</v>
      </c>
      <c r="J9" s="74"/>
      <c r="K9" s="103">
        <v>16</v>
      </c>
      <c r="L9" s="101">
        <v>4.13</v>
      </c>
      <c r="M9" s="73">
        <f t="shared" si="0"/>
        <v>4</v>
      </c>
      <c r="N9" s="1"/>
      <c r="O9" s="1"/>
      <c r="P9" s="1"/>
      <c r="Q9" s="1"/>
      <c r="R9" s="57"/>
    </row>
    <row r="10" spans="1:18" ht="19.5">
      <c r="A10" s="218" t="s">
        <v>258</v>
      </c>
      <c r="B10" s="199"/>
      <c r="C10" s="199"/>
      <c r="D10" s="199"/>
      <c r="E10" s="199"/>
      <c r="F10" s="199"/>
      <c r="G10" s="199"/>
      <c r="H10" s="199"/>
      <c r="I10" s="221"/>
      <c r="J10" s="57"/>
      <c r="K10" s="104">
        <v>32</v>
      </c>
      <c r="L10" s="102">
        <v>4.33</v>
      </c>
      <c r="M10" s="73">
        <f t="shared" si="0"/>
        <v>5.6568542494923806</v>
      </c>
      <c r="N10" s="57"/>
      <c r="O10" s="57"/>
      <c r="P10" s="57"/>
      <c r="Q10" s="57"/>
      <c r="R10" s="57"/>
    </row>
    <row r="11" spans="1:18" ht="19.5">
      <c r="A11" s="65" t="s">
        <v>239</v>
      </c>
      <c r="B11" s="66"/>
      <c r="C11" s="66"/>
      <c r="D11" s="66"/>
      <c r="E11" s="70" t="s">
        <v>254</v>
      </c>
      <c r="F11" s="70"/>
      <c r="G11" s="70"/>
      <c r="H11" s="66"/>
      <c r="I11" s="67"/>
      <c r="J11" s="57"/>
      <c r="K11" s="104">
        <v>60</v>
      </c>
      <c r="L11" s="102">
        <v>4.5620000000000003</v>
      </c>
      <c r="M11" s="73">
        <f t="shared" si="0"/>
        <v>7.745966692414834</v>
      </c>
      <c r="N11" s="57"/>
      <c r="O11" s="57"/>
      <c r="P11" s="57"/>
      <c r="Q11" s="57"/>
      <c r="R11" s="57"/>
    </row>
    <row r="12" spans="1:18" ht="19.5">
      <c r="A12" s="218" t="s">
        <v>238</v>
      </c>
      <c r="B12" s="199"/>
      <c r="C12" s="199"/>
      <c r="D12" s="207">
        <v>60.5</v>
      </c>
      <c r="E12" s="207"/>
      <c r="F12" s="207"/>
      <c r="G12" s="207"/>
      <c r="H12" s="207"/>
      <c r="I12" s="216"/>
      <c r="J12" s="57"/>
      <c r="K12" s="104">
        <v>141</v>
      </c>
      <c r="L12" s="102">
        <v>4.8529999999999998</v>
      </c>
      <c r="M12" s="73">
        <f t="shared" si="0"/>
        <v>11.874342087037917</v>
      </c>
      <c r="N12" s="57"/>
      <c r="O12" s="57"/>
      <c r="P12" s="57"/>
      <c r="Q12" s="57"/>
      <c r="R12" s="57"/>
    </row>
    <row r="13" spans="1:18" ht="20.25">
      <c r="A13" s="76" t="s">
        <v>235</v>
      </c>
      <c r="B13" s="183">
        <v>55</v>
      </c>
      <c r="C13" s="82" t="s">
        <v>236</v>
      </c>
      <c r="D13" s="183">
        <v>26</v>
      </c>
      <c r="E13" s="82" t="s">
        <v>237</v>
      </c>
      <c r="F13" s="183">
        <f>B13-D13</f>
        <v>29</v>
      </c>
      <c r="G13" s="44"/>
      <c r="H13" s="197" t="s">
        <v>240</v>
      </c>
      <c r="I13" s="188">
        <v>2.69</v>
      </c>
      <c r="J13" s="57"/>
      <c r="K13" s="104">
        <v>296</v>
      </c>
      <c r="L13" s="102">
        <v>5.0270000000000001</v>
      </c>
      <c r="M13" s="73">
        <f t="shared" si="0"/>
        <v>17.204650534085253</v>
      </c>
      <c r="N13" s="57"/>
      <c r="O13" s="57"/>
      <c r="P13" s="57"/>
      <c r="Q13" s="57"/>
      <c r="R13" s="57"/>
    </row>
    <row r="14" spans="1:18" ht="19.5">
      <c r="A14" s="214" t="s">
        <v>245</v>
      </c>
      <c r="B14" s="215"/>
      <c r="C14" s="215"/>
      <c r="D14" s="215"/>
      <c r="E14" s="215"/>
      <c r="F14" s="55"/>
      <c r="G14" s="55"/>
      <c r="H14" s="55"/>
      <c r="I14" s="56"/>
      <c r="J14" s="57"/>
      <c r="K14" s="104">
        <v>429</v>
      </c>
      <c r="L14" s="102">
        <v>5.0860000000000003</v>
      </c>
      <c r="M14" s="73">
        <f t="shared" si="0"/>
        <v>20.71231517720798</v>
      </c>
      <c r="N14" s="57"/>
      <c r="O14" s="57"/>
      <c r="P14" s="57"/>
      <c r="Q14" s="57"/>
      <c r="R14" s="57"/>
    </row>
    <row r="15" spans="1:18" ht="21">
      <c r="A15" s="218" t="s">
        <v>241</v>
      </c>
      <c r="B15" s="199"/>
      <c r="C15" s="199"/>
      <c r="D15" s="10">
        <v>48.1</v>
      </c>
      <c r="E15" s="57"/>
      <c r="F15" s="199" t="s">
        <v>249</v>
      </c>
      <c r="G15" s="199"/>
      <c r="H15" s="199"/>
      <c r="I15" s="59">
        <f>(PI()/400)*D15*D15</f>
        <v>18.171050448179706</v>
      </c>
      <c r="J15" s="57"/>
      <c r="K15" s="104">
        <v>459</v>
      </c>
      <c r="L15" s="102">
        <v>5.0949999999999998</v>
      </c>
      <c r="M15" s="73">
        <f t="shared" si="0"/>
        <v>21.42428528562855</v>
      </c>
      <c r="N15" s="57"/>
      <c r="O15" s="57"/>
      <c r="P15" s="57"/>
      <c r="Q15" s="57"/>
      <c r="R15" s="57"/>
    </row>
    <row r="16" spans="1:18" ht="19.5">
      <c r="A16" s="218" t="s">
        <v>243</v>
      </c>
      <c r="B16" s="199"/>
      <c r="C16" s="199"/>
      <c r="D16" s="78">
        <v>20</v>
      </c>
      <c r="E16" s="77"/>
      <c r="F16" s="199" t="s">
        <v>246</v>
      </c>
      <c r="G16" s="199"/>
      <c r="H16" s="199"/>
      <c r="I16" s="80">
        <v>16.428999999999998</v>
      </c>
      <c r="J16" s="57"/>
      <c r="K16" s="104">
        <v>680</v>
      </c>
      <c r="L16" s="102">
        <v>5.141</v>
      </c>
      <c r="M16" s="73">
        <f t="shared" si="0"/>
        <v>26.076809620810597</v>
      </c>
      <c r="N16" s="57"/>
      <c r="O16" s="57"/>
      <c r="P16" s="57"/>
      <c r="Q16" s="57"/>
      <c r="R16" s="57"/>
    </row>
    <row r="17" spans="1:18" ht="19.5">
      <c r="A17" s="218" t="s">
        <v>242</v>
      </c>
      <c r="B17" s="199"/>
      <c r="C17" s="199"/>
      <c r="D17" s="10">
        <v>63.6</v>
      </c>
      <c r="E17" s="57"/>
      <c r="F17" s="199" t="s">
        <v>247</v>
      </c>
      <c r="G17" s="199"/>
      <c r="H17" s="199"/>
      <c r="I17" s="59">
        <v>47.9</v>
      </c>
      <c r="J17" s="74"/>
      <c r="K17" s="103">
        <v>1445</v>
      </c>
      <c r="L17" s="98">
        <v>5.2039999999999997</v>
      </c>
      <c r="M17" s="73">
        <f t="shared" si="0"/>
        <v>38.013155617496423</v>
      </c>
      <c r="N17" s="93"/>
      <c r="O17" s="93"/>
      <c r="P17" s="93"/>
      <c r="Q17" s="57"/>
      <c r="R17" s="57"/>
    </row>
    <row r="18" spans="1:18" ht="19.5">
      <c r="A18" s="218" t="s">
        <v>244</v>
      </c>
      <c r="B18" s="199"/>
      <c r="C18" s="199"/>
      <c r="D18" s="10">
        <v>59.08</v>
      </c>
      <c r="E18" s="57"/>
      <c r="F18" s="199" t="s">
        <v>263</v>
      </c>
      <c r="G18" s="199"/>
      <c r="H18" s="199"/>
      <c r="I18" s="59">
        <v>53.34</v>
      </c>
      <c r="J18" s="74"/>
      <c r="K18" s="103">
        <v>1583</v>
      </c>
      <c r="L18" s="98">
        <v>5.2119999999999997</v>
      </c>
      <c r="M18" s="73">
        <f t="shared" si="0"/>
        <v>39.786932528155525</v>
      </c>
      <c r="N18" s="3"/>
      <c r="O18" s="3"/>
      <c r="P18" s="3"/>
      <c r="Q18" s="57"/>
      <c r="R18" s="57"/>
    </row>
    <row r="19" spans="1:18" ht="19.5">
      <c r="A19" s="6" t="s">
        <v>248</v>
      </c>
      <c r="B19" s="57"/>
      <c r="C19" s="57"/>
      <c r="D19" s="60">
        <f>D18/(1+D17/100)</f>
        <v>36.112469437652805</v>
      </c>
      <c r="E19" s="57"/>
      <c r="F19" s="199" t="s">
        <v>248</v>
      </c>
      <c r="G19" s="199"/>
      <c r="H19" s="199"/>
      <c r="I19" s="61">
        <f>I18/(1+I17/100)</f>
        <v>36.064908722109536</v>
      </c>
      <c r="J19" s="75"/>
      <c r="K19" s="97"/>
      <c r="L19" s="98"/>
      <c r="M19" s="73"/>
      <c r="N19" s="3"/>
      <c r="O19" s="3"/>
      <c r="P19" s="3"/>
      <c r="Q19" s="57"/>
      <c r="R19" s="57"/>
    </row>
    <row r="20" spans="1:18" ht="21">
      <c r="A20" s="218" t="s">
        <v>250</v>
      </c>
      <c r="B20" s="199"/>
      <c r="C20" s="199"/>
      <c r="D20" s="79">
        <f>D19/(D16*I15/10)</f>
        <v>0.99368139284623447</v>
      </c>
      <c r="E20" s="57"/>
      <c r="F20" s="199" t="s">
        <v>250</v>
      </c>
      <c r="G20" s="199"/>
      <c r="H20" s="199"/>
      <c r="I20" s="80">
        <f>I19/(I15*I16/10)</f>
        <v>1.2080743783877363</v>
      </c>
      <c r="J20" s="74"/>
      <c r="K20" s="97"/>
      <c r="L20" s="98"/>
      <c r="M20" s="94"/>
      <c r="N20" s="3"/>
      <c r="O20" s="3"/>
      <c r="P20" s="3"/>
      <c r="Q20" s="57"/>
      <c r="R20" s="57"/>
    </row>
    <row r="21" spans="1:18" ht="20.25">
      <c r="A21" s="218" t="s">
        <v>251</v>
      </c>
      <c r="B21" s="199"/>
      <c r="C21" s="199"/>
      <c r="D21" s="79">
        <f>(I13/D20)-1</f>
        <v>1.7071051338648338</v>
      </c>
      <c r="E21" s="57"/>
      <c r="F21" s="199" t="s">
        <v>252</v>
      </c>
      <c r="G21" s="199"/>
      <c r="H21" s="199"/>
      <c r="I21" s="80">
        <f>(I13/I20)-1</f>
        <v>1.2266840917444188</v>
      </c>
      <c r="J21" s="74"/>
      <c r="K21" s="97"/>
      <c r="L21" s="98"/>
      <c r="M21" s="93"/>
      <c r="N21" s="3"/>
      <c r="O21" s="3"/>
      <c r="P21" s="3"/>
      <c r="Q21" s="57"/>
      <c r="R21" s="57"/>
    </row>
    <row r="22" spans="1:18" ht="19.5">
      <c r="A22" s="219" t="s">
        <v>253</v>
      </c>
      <c r="B22" s="209"/>
      <c r="C22" s="209"/>
      <c r="D22" s="14">
        <f>(I13*D17)/D21</f>
        <v>100.21878360395476</v>
      </c>
      <c r="E22" s="44"/>
      <c r="F22" s="209" t="s">
        <v>253</v>
      </c>
      <c r="G22" s="209"/>
      <c r="H22" s="209"/>
      <c r="I22" s="81">
        <f>I13*I17/I21</f>
        <v>105.04008396877968</v>
      </c>
      <c r="J22" s="74"/>
      <c r="K22" s="97"/>
      <c r="L22" s="101"/>
      <c r="M22" s="1"/>
      <c r="N22" s="1"/>
      <c r="O22" s="1"/>
      <c r="P22" s="1"/>
      <c r="Q22" s="57"/>
      <c r="R22" s="57"/>
    </row>
    <row r="23" spans="1:18">
      <c r="A23" s="83" t="s">
        <v>259</v>
      </c>
      <c r="B23" s="84"/>
      <c r="C23" s="84"/>
      <c r="D23" s="84"/>
      <c r="E23" s="55"/>
      <c r="F23" s="55"/>
      <c r="G23" s="55"/>
      <c r="H23" s="55"/>
      <c r="I23" s="56"/>
      <c r="J23" s="57"/>
      <c r="K23" s="100"/>
      <c r="L23" s="102"/>
      <c r="M23" s="57"/>
      <c r="N23" s="57"/>
      <c r="O23" s="57"/>
      <c r="P23" s="57"/>
      <c r="Q23" s="57"/>
      <c r="R23" s="57"/>
    </row>
    <row r="24" spans="1:18">
      <c r="A24" s="85"/>
      <c r="B24" s="86" t="s">
        <v>260</v>
      </c>
      <c r="C24" s="86"/>
      <c r="D24" s="86"/>
      <c r="E24" s="57"/>
      <c r="F24" s="57"/>
      <c r="G24" s="57"/>
      <c r="H24" s="57"/>
      <c r="I24" s="58"/>
      <c r="J24" s="57"/>
      <c r="K24" s="100"/>
      <c r="L24" s="102"/>
      <c r="M24" s="57"/>
      <c r="N24" s="57"/>
      <c r="O24" s="57"/>
      <c r="P24" s="57"/>
      <c r="Q24" s="57"/>
      <c r="R24" s="57"/>
    </row>
    <row r="25" spans="1:18" ht="19.5">
      <c r="A25" s="190" t="s">
        <v>354</v>
      </c>
      <c r="B25" s="191" t="s">
        <v>355</v>
      </c>
      <c r="C25" s="191" t="s">
        <v>356</v>
      </c>
      <c r="D25" s="191" t="s">
        <v>357</v>
      </c>
      <c r="E25" s="189" t="s">
        <v>358</v>
      </c>
      <c r="F25" s="189" t="s">
        <v>353</v>
      </c>
      <c r="G25" s="189" t="s">
        <v>359</v>
      </c>
      <c r="H25" s="191" t="s">
        <v>360</v>
      </c>
      <c r="I25" s="192" t="s">
        <v>261</v>
      </c>
      <c r="J25" s="74"/>
      <c r="K25" s="97"/>
      <c r="L25" s="98"/>
      <c r="M25" s="93"/>
      <c r="N25" s="93"/>
      <c r="O25" s="93"/>
      <c r="P25" s="93"/>
      <c r="Q25" s="1"/>
      <c r="R25" s="57"/>
    </row>
    <row r="26" spans="1:18" ht="19.5">
      <c r="A26" s="87">
        <v>2</v>
      </c>
      <c r="B26" s="11"/>
      <c r="C26" s="11"/>
      <c r="D26" s="88">
        <v>0</v>
      </c>
      <c r="E26" s="88">
        <v>20</v>
      </c>
      <c r="F26" s="88"/>
      <c r="G26" s="88"/>
      <c r="H26" s="11"/>
      <c r="I26" s="89">
        <f>D21</f>
        <v>1.7071051338648338</v>
      </c>
      <c r="J26" s="74"/>
      <c r="K26" s="97"/>
      <c r="L26" s="98"/>
      <c r="M26" s="93"/>
      <c r="N26" s="3"/>
      <c r="O26" s="3"/>
      <c r="P26" s="3"/>
      <c r="Q26" s="1"/>
      <c r="R26" s="57"/>
    </row>
    <row r="27" spans="1:18" ht="19.5">
      <c r="A27" s="87">
        <v>20</v>
      </c>
      <c r="B27" s="11" t="s">
        <v>262</v>
      </c>
      <c r="C27" s="11" t="s">
        <v>262</v>
      </c>
      <c r="D27" s="11">
        <v>8.4000000000000005E-2</v>
      </c>
      <c r="E27" s="88">
        <f>E26</f>
        <v>20</v>
      </c>
      <c r="F27" s="88">
        <f>D27-D26</f>
        <v>8.4000000000000005E-2</v>
      </c>
      <c r="G27" s="88">
        <f>E27-F27</f>
        <v>19.916</v>
      </c>
      <c r="H27" s="11">
        <f>(F27/E27)*(1+I26)</f>
        <v>1.1369841562232303E-2</v>
      </c>
      <c r="I27" s="89">
        <f>I26-H27</f>
        <v>1.6957352923026014</v>
      </c>
      <c r="J27" s="75"/>
      <c r="K27" s="97"/>
      <c r="L27" s="98"/>
      <c r="M27" s="73"/>
      <c r="N27" s="3"/>
      <c r="O27" s="3"/>
      <c r="P27" s="3"/>
      <c r="Q27" s="1"/>
      <c r="R27" s="57"/>
    </row>
    <row r="28" spans="1:18" ht="19.5">
      <c r="A28" s="87">
        <v>37.9</v>
      </c>
      <c r="B28" s="88">
        <v>9.0999999999999998E-2</v>
      </c>
      <c r="C28" s="88">
        <v>0.13200000000000001</v>
      </c>
      <c r="D28" s="88">
        <v>0.17799999999999999</v>
      </c>
      <c r="E28" s="88">
        <f>G27</f>
        <v>19.916</v>
      </c>
      <c r="F28" s="88">
        <f>D28-D27</f>
        <v>9.3999999999999986E-2</v>
      </c>
      <c r="G28" s="88">
        <f>E28-F28</f>
        <v>19.821999999999999</v>
      </c>
      <c r="H28" s="11">
        <f>(F28/E28)*(1+I27)</f>
        <v>1.2723394129164718E-2</v>
      </c>
      <c r="I28" s="89">
        <f>I27-H28</f>
        <v>1.6830118981734368</v>
      </c>
      <c r="J28" s="74"/>
      <c r="K28" s="97"/>
      <c r="L28" s="99"/>
      <c r="M28" s="94"/>
      <c r="N28" s="3"/>
      <c r="O28" s="3"/>
      <c r="P28" s="3"/>
      <c r="Q28" s="1"/>
      <c r="R28" s="57"/>
    </row>
    <row r="29" spans="1:18" ht="19.5">
      <c r="A29" s="87">
        <v>69.7</v>
      </c>
      <c r="B29" s="88">
        <v>0.17499999999999999</v>
      </c>
      <c r="C29" s="88">
        <v>0.34</v>
      </c>
      <c r="D29" s="88">
        <v>0.441</v>
      </c>
      <c r="E29" s="88">
        <f t="shared" ref="E29:E34" si="1">G28</f>
        <v>19.821999999999999</v>
      </c>
      <c r="F29" s="88">
        <f t="shared" ref="F29:F34" si="2">D29-D28</f>
        <v>0.26300000000000001</v>
      </c>
      <c r="G29" s="88">
        <f t="shared" ref="G29:G34" si="3">E29-F29</f>
        <v>19.558999999999997</v>
      </c>
      <c r="H29" s="11">
        <f t="shared" ref="H29:H34" si="4">(F29/E29)*(1+I28)</f>
        <v>3.5598432510322561E-2</v>
      </c>
      <c r="I29" s="89">
        <f t="shared" ref="I29:I34" si="5">I28-H29</f>
        <v>1.6474134656631143</v>
      </c>
      <c r="J29" s="213"/>
      <c r="K29" s="213"/>
      <c r="L29" s="207"/>
      <c r="M29" s="207"/>
      <c r="N29" s="3"/>
      <c r="O29" s="3"/>
      <c r="P29" s="3"/>
      <c r="Q29" s="1"/>
      <c r="R29" s="57"/>
    </row>
    <row r="30" spans="1:18" ht="15.75">
      <c r="A30" s="87">
        <v>137.4</v>
      </c>
      <c r="B30" s="88">
        <v>1.47</v>
      </c>
      <c r="C30" s="88">
        <v>1.4750000000000001</v>
      </c>
      <c r="D30" s="88">
        <v>1.7969999999999999</v>
      </c>
      <c r="E30" s="88">
        <f t="shared" si="1"/>
        <v>19.558999999999997</v>
      </c>
      <c r="F30" s="88">
        <f t="shared" si="2"/>
        <v>1.3559999999999999</v>
      </c>
      <c r="G30" s="88">
        <f t="shared" si="3"/>
        <v>18.202999999999996</v>
      </c>
      <c r="H30" s="11">
        <f t="shared" si="4"/>
        <v>0.18354172807603575</v>
      </c>
      <c r="I30" s="89">
        <f t="shared" si="5"/>
        <v>1.4638717375870787</v>
      </c>
      <c r="J30" s="199"/>
      <c r="K30" s="199"/>
      <c r="L30" s="1"/>
      <c r="M30" s="1"/>
      <c r="N30" s="1"/>
      <c r="O30" s="1"/>
      <c r="P30" s="1"/>
      <c r="Q30" s="1"/>
      <c r="R30" s="57"/>
    </row>
    <row r="31" spans="1:18">
      <c r="A31" s="87">
        <v>272.60000000000002</v>
      </c>
      <c r="B31" s="88">
        <v>1.8</v>
      </c>
      <c r="C31" s="88">
        <v>3.28</v>
      </c>
      <c r="D31" s="88">
        <v>3.5880000000000001</v>
      </c>
      <c r="E31" s="88">
        <f t="shared" si="1"/>
        <v>18.202999999999996</v>
      </c>
      <c r="F31" s="88">
        <f t="shared" si="2"/>
        <v>1.7910000000000001</v>
      </c>
      <c r="G31" s="88">
        <f t="shared" si="3"/>
        <v>16.411999999999995</v>
      </c>
      <c r="H31" s="11">
        <f t="shared" si="4"/>
        <v>0.24242126473759595</v>
      </c>
      <c r="I31" s="89">
        <f t="shared" si="5"/>
        <v>1.2214504728494826</v>
      </c>
      <c r="J31" s="57"/>
      <c r="K31" s="57"/>
      <c r="L31" s="57"/>
      <c r="M31" s="57"/>
      <c r="N31" s="57"/>
      <c r="O31" s="57"/>
      <c r="P31" s="57"/>
      <c r="Q31" s="57"/>
      <c r="R31" s="57"/>
    </row>
    <row r="32" spans="1:18">
      <c r="A32" s="87">
        <v>543</v>
      </c>
      <c r="B32" s="88">
        <v>3.61</v>
      </c>
      <c r="C32" s="88">
        <v>5.03</v>
      </c>
      <c r="D32" s="88">
        <v>5.2119999999999997</v>
      </c>
      <c r="E32" s="88">
        <f t="shared" si="1"/>
        <v>16.411999999999995</v>
      </c>
      <c r="F32" s="88">
        <f t="shared" si="2"/>
        <v>1.6239999999999997</v>
      </c>
      <c r="G32" s="88">
        <f t="shared" si="3"/>
        <v>14.787999999999997</v>
      </c>
      <c r="H32" s="11">
        <f t="shared" si="4"/>
        <v>0.21981693686982451</v>
      </c>
      <c r="I32" s="89">
        <f t="shared" si="5"/>
        <v>1.001633535979658</v>
      </c>
      <c r="J32" s="57"/>
      <c r="K32" s="57"/>
      <c r="L32" s="57"/>
      <c r="M32" s="57"/>
      <c r="N32" s="57"/>
      <c r="O32" s="57"/>
      <c r="P32" s="57"/>
      <c r="Q32" s="57"/>
      <c r="R32" s="57"/>
    </row>
    <row r="33" spans="1:9">
      <c r="A33" s="87">
        <v>137.4</v>
      </c>
      <c r="B33" s="88" t="s">
        <v>262</v>
      </c>
      <c r="C33" s="88" t="s">
        <v>262</v>
      </c>
      <c r="D33" s="88">
        <v>4.7290000000000001</v>
      </c>
      <c r="E33" s="88">
        <f t="shared" si="1"/>
        <v>14.787999999999997</v>
      </c>
      <c r="F33" s="88">
        <f t="shared" si="2"/>
        <v>-0.48299999999999965</v>
      </c>
      <c r="G33" s="88">
        <f t="shared" si="3"/>
        <v>15.270999999999997</v>
      </c>
      <c r="H33" s="11">
        <f t="shared" si="4"/>
        <v>-6.5376588982835701E-2</v>
      </c>
      <c r="I33" s="89">
        <f t="shared" si="5"/>
        <v>1.0670101249624937</v>
      </c>
    </row>
    <row r="34" spans="1:9">
      <c r="A34" s="90">
        <v>20</v>
      </c>
      <c r="B34" s="91" t="s">
        <v>262</v>
      </c>
      <c r="C34" s="91" t="s">
        <v>262</v>
      </c>
      <c r="D34" s="91">
        <v>3.5710000000000002</v>
      </c>
      <c r="E34" s="91">
        <f t="shared" si="1"/>
        <v>15.270999999999997</v>
      </c>
      <c r="F34" s="91">
        <f t="shared" si="2"/>
        <v>-1.1579999999999999</v>
      </c>
      <c r="G34" s="91">
        <f t="shared" si="3"/>
        <v>16.428999999999998</v>
      </c>
      <c r="H34" s="46">
        <f t="shared" si="4"/>
        <v>-0.15674138725077386</v>
      </c>
      <c r="I34" s="92">
        <f t="shared" si="5"/>
        <v>1.2237515122132676</v>
      </c>
    </row>
  </sheetData>
  <mergeCells count="32">
    <mergeCell ref="F19:H19"/>
    <mergeCell ref="F8:H8"/>
    <mergeCell ref="A9:H9"/>
    <mergeCell ref="A12:C12"/>
    <mergeCell ref="A10:I10"/>
    <mergeCell ref="F18:H18"/>
    <mergeCell ref="A16:C16"/>
    <mergeCell ref="A15:C15"/>
    <mergeCell ref="F16:H16"/>
    <mergeCell ref="F17:H17"/>
    <mergeCell ref="F15:H15"/>
    <mergeCell ref="A2:B2"/>
    <mergeCell ref="C2:D2"/>
    <mergeCell ref="C4:D4"/>
    <mergeCell ref="A4:B4"/>
    <mergeCell ref="A6:B6"/>
    <mergeCell ref="J29:K29"/>
    <mergeCell ref="L29:M29"/>
    <mergeCell ref="J30:K30"/>
    <mergeCell ref="C3:D3"/>
    <mergeCell ref="A7:F7"/>
    <mergeCell ref="D12:I12"/>
    <mergeCell ref="A5:B5"/>
    <mergeCell ref="A20:C20"/>
    <mergeCell ref="F20:H20"/>
    <mergeCell ref="A21:C21"/>
    <mergeCell ref="F21:H21"/>
    <mergeCell ref="A22:C22"/>
    <mergeCell ref="F22:H22"/>
    <mergeCell ref="A14:E14"/>
    <mergeCell ref="A18:C18"/>
    <mergeCell ref="A17:C1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topLeftCell="A10" workbookViewId="0">
      <selection activeCell="L12" sqref="L12"/>
    </sheetView>
  </sheetViews>
  <sheetFormatPr defaultRowHeight="15"/>
  <cols>
    <col min="1" max="2" width="9.140625" style="9"/>
    <col min="3" max="3" width="12.5703125" style="9" bestFit="1" customWidth="1"/>
    <col min="4" max="7" width="9.140625" style="9"/>
    <col min="8" max="8" width="9.5703125" style="9" bestFit="1" customWidth="1"/>
    <col min="9" max="16384" width="9.140625" style="9"/>
  </cols>
  <sheetData>
    <row r="1" spans="1:10" ht="19.5">
      <c r="A1" s="55" t="s">
        <v>289</v>
      </c>
      <c r="B1" s="55"/>
      <c r="C1" s="222" t="s">
        <v>290</v>
      </c>
      <c r="D1" s="222"/>
      <c r="E1" s="222"/>
      <c r="F1" s="222"/>
      <c r="G1" s="222"/>
      <c r="H1" s="222"/>
      <c r="I1" s="222"/>
    </row>
    <row r="2" spans="1:10" ht="19.5">
      <c r="A2" s="57" t="s">
        <v>291</v>
      </c>
      <c r="B2" s="57"/>
      <c r="C2" s="10" t="s">
        <v>292</v>
      </c>
      <c r="D2" s="10"/>
      <c r="E2" s="10"/>
      <c r="F2" s="10"/>
      <c r="G2" s="10"/>
      <c r="H2" s="10"/>
      <c r="I2" s="10"/>
    </row>
    <row r="3" spans="1:10" ht="19.5">
      <c r="A3" s="57" t="s">
        <v>293</v>
      </c>
      <c r="B3" s="57"/>
      <c r="C3" s="10" t="s">
        <v>294</v>
      </c>
      <c r="D3" s="10"/>
      <c r="E3" s="10"/>
      <c r="F3" s="10"/>
      <c r="G3" s="10"/>
      <c r="H3" s="10"/>
      <c r="I3" s="10"/>
    </row>
    <row r="4" spans="1:10" ht="19.5">
      <c r="A4" s="57" t="s">
        <v>66</v>
      </c>
      <c r="B4" s="57"/>
      <c r="C4" s="223">
        <v>18524</v>
      </c>
      <c r="D4" s="223"/>
      <c r="E4" s="223"/>
      <c r="F4" s="223"/>
      <c r="G4" s="223"/>
      <c r="H4" s="223"/>
      <c r="I4" s="223"/>
    </row>
    <row r="5" spans="1:10" ht="19.5">
      <c r="A5" s="44" t="s">
        <v>295</v>
      </c>
      <c r="B5" s="44"/>
      <c r="C5" s="13" t="s">
        <v>296</v>
      </c>
      <c r="D5" s="13"/>
      <c r="E5" s="13"/>
      <c r="F5" s="13"/>
      <c r="G5" s="13"/>
      <c r="H5" s="13"/>
      <c r="I5" s="13"/>
    </row>
    <row r="6" spans="1:10" ht="20.25">
      <c r="A6" s="206" t="s">
        <v>303</v>
      </c>
      <c r="B6" s="206"/>
      <c r="C6" s="206"/>
      <c r="D6" s="106">
        <v>112.8</v>
      </c>
      <c r="E6" s="55"/>
      <c r="F6" s="206" t="s">
        <v>302</v>
      </c>
      <c r="G6" s="206"/>
      <c r="H6" s="206"/>
      <c r="I6" s="106">
        <v>0</v>
      </c>
    </row>
    <row r="7" spans="1:10" ht="19.5">
      <c r="A7" s="57" t="s">
        <v>274</v>
      </c>
      <c r="B7" s="57"/>
      <c r="C7" s="57"/>
      <c r="D7" s="10">
        <v>2.67</v>
      </c>
      <c r="E7" s="57"/>
      <c r="F7" s="57"/>
      <c r="G7" s="57"/>
      <c r="H7" s="57"/>
      <c r="I7" s="57"/>
    </row>
    <row r="8" spans="1:10">
      <c r="A8" s="57" t="s">
        <v>271</v>
      </c>
      <c r="B8" s="57"/>
      <c r="C8" s="57"/>
      <c r="D8" s="57"/>
      <c r="E8" s="57"/>
      <c r="F8" s="57"/>
      <c r="G8" s="57"/>
      <c r="H8" s="57"/>
      <c r="I8" s="57"/>
    </row>
    <row r="9" spans="1:10" ht="19.5">
      <c r="A9" s="57" t="s">
        <v>268</v>
      </c>
      <c r="B9" s="10">
        <v>76.2</v>
      </c>
      <c r="C9" s="57"/>
      <c r="D9" s="57" t="s">
        <v>269</v>
      </c>
      <c r="E9" s="10">
        <v>76.2</v>
      </c>
      <c r="F9" s="57"/>
      <c r="G9" s="199" t="s">
        <v>270</v>
      </c>
      <c r="H9" s="199"/>
      <c r="I9" s="10">
        <v>12.7</v>
      </c>
    </row>
    <row r="10" spans="1:10" ht="21">
      <c r="A10" s="199" t="s">
        <v>272</v>
      </c>
      <c r="B10" s="199"/>
      <c r="C10" s="60">
        <f>B9*E9/100</f>
        <v>58.064400000000006</v>
      </c>
      <c r="D10" s="57"/>
      <c r="E10" s="57"/>
      <c r="F10" s="57"/>
      <c r="G10" s="199" t="s">
        <v>273</v>
      </c>
      <c r="H10" s="199"/>
      <c r="I10" s="10">
        <f>B9*E9*I9/1000</f>
        <v>73.741788</v>
      </c>
    </row>
    <row r="11" spans="1:10" ht="19.5">
      <c r="A11" s="193" t="s">
        <v>297</v>
      </c>
      <c r="B11" s="193"/>
      <c r="C11" s="62">
        <v>3337.4</v>
      </c>
      <c r="D11" s="44"/>
      <c r="E11" s="209" t="s">
        <v>304</v>
      </c>
      <c r="F11" s="209"/>
      <c r="G11" s="209"/>
      <c r="H11" s="198">
        <f>C11*10/C10</f>
        <v>574.77559399563233</v>
      </c>
      <c r="I11" s="44"/>
    </row>
    <row r="12" spans="1:10" ht="19.5">
      <c r="A12" s="57" t="s">
        <v>267</v>
      </c>
      <c r="B12" s="11" t="s">
        <v>298</v>
      </c>
      <c r="C12" s="11" t="s">
        <v>299</v>
      </c>
      <c r="D12" s="11" t="s">
        <v>300</v>
      </c>
      <c r="E12" s="11" t="s">
        <v>301</v>
      </c>
      <c r="F12" s="57"/>
      <c r="G12" s="57"/>
      <c r="H12" s="57"/>
      <c r="I12" s="57"/>
    </row>
    <row r="13" spans="1:10" ht="19.5">
      <c r="A13" s="10" t="s">
        <v>275</v>
      </c>
      <c r="B13" s="194">
        <v>0</v>
      </c>
      <c r="C13" s="107">
        <v>0</v>
      </c>
      <c r="D13" s="12">
        <v>0</v>
      </c>
      <c r="E13" s="12">
        <f>D13*10/($C$10)</f>
        <v>0</v>
      </c>
      <c r="F13" s="57"/>
      <c r="G13" s="57"/>
      <c r="H13" s="57"/>
      <c r="I13" s="57"/>
      <c r="J13" s="105"/>
    </row>
    <row r="14" spans="1:10" ht="19.5">
      <c r="A14" s="10" t="s">
        <v>276</v>
      </c>
      <c r="B14" s="194">
        <v>5.0799999999999998E-2</v>
      </c>
      <c r="C14" s="107">
        <v>-1.5239999999999998E-2</v>
      </c>
      <c r="D14" s="12">
        <v>422.73252000000002</v>
      </c>
      <c r="E14" s="12">
        <f t="shared" ref="E14:E39" si="0">D14*10/($C$10)</f>
        <v>72.804079608159213</v>
      </c>
      <c r="F14" s="57"/>
      <c r="G14" s="57"/>
      <c r="H14" s="57"/>
      <c r="I14" s="57"/>
      <c r="J14" s="105"/>
    </row>
    <row r="15" spans="1:10" ht="19.5">
      <c r="A15" s="10" t="s">
        <v>277</v>
      </c>
      <c r="B15" s="194">
        <v>0.22859999999999997</v>
      </c>
      <c r="C15" s="107">
        <v>-5.0799999999999998E-2</v>
      </c>
      <c r="D15" s="12">
        <v>952.26062400000012</v>
      </c>
      <c r="E15" s="12">
        <f t="shared" si="0"/>
        <v>164.00076880153759</v>
      </c>
      <c r="F15" s="57"/>
      <c r="G15" s="57"/>
      <c r="H15" s="57"/>
      <c r="I15" s="57"/>
      <c r="J15" s="105"/>
    </row>
    <row r="16" spans="1:10" ht="19.5">
      <c r="A16" s="10" t="s">
        <v>278</v>
      </c>
      <c r="B16" s="194">
        <v>0.48259999999999997</v>
      </c>
      <c r="C16" s="107">
        <v>-8.1280000000000005E-2</v>
      </c>
      <c r="D16" s="12">
        <v>1357.1938800000003</v>
      </c>
      <c r="E16" s="12">
        <f t="shared" si="0"/>
        <v>233.739413478827</v>
      </c>
      <c r="F16" s="57"/>
      <c r="G16" s="57"/>
      <c r="H16" s="57"/>
      <c r="I16" s="57"/>
      <c r="J16" s="105"/>
    </row>
    <row r="17" spans="1:10" ht="19.5">
      <c r="A17" s="10" t="s">
        <v>279</v>
      </c>
      <c r="B17" s="194">
        <v>0.73660000000000003</v>
      </c>
      <c r="C17" s="107">
        <v>-8.6359999999999992E-2</v>
      </c>
      <c r="D17" s="12">
        <v>1590.8092200000001</v>
      </c>
      <c r="E17" s="12">
        <f t="shared" si="0"/>
        <v>273.97324694649387</v>
      </c>
      <c r="F17" s="57"/>
      <c r="G17" s="57"/>
      <c r="H17" s="57"/>
      <c r="I17" s="57"/>
      <c r="J17" s="105"/>
    </row>
    <row r="18" spans="1:10" ht="19.5">
      <c r="A18" s="10" t="s">
        <v>280</v>
      </c>
      <c r="B18" s="194">
        <v>1.016</v>
      </c>
      <c r="C18" s="107">
        <v>-0.11683999999999999</v>
      </c>
      <c r="D18" s="12">
        <v>1813.3000200000001</v>
      </c>
      <c r="E18" s="12">
        <f t="shared" si="0"/>
        <v>312.29118358236718</v>
      </c>
      <c r="F18" s="57"/>
      <c r="G18" s="57"/>
      <c r="H18" s="57"/>
      <c r="I18" s="57"/>
      <c r="J18" s="105"/>
    </row>
    <row r="19" spans="1:10" ht="19.5">
      <c r="A19" s="10" t="s">
        <v>281</v>
      </c>
      <c r="B19" s="194">
        <v>1.397</v>
      </c>
      <c r="C19" s="107">
        <v>-0.11938</v>
      </c>
      <c r="D19" s="12">
        <v>2013.5417400000001</v>
      </c>
      <c r="E19" s="12">
        <f t="shared" si="0"/>
        <v>346.77732655465309</v>
      </c>
      <c r="F19" s="57"/>
      <c r="G19" s="57"/>
      <c r="H19" s="57"/>
      <c r="I19" s="57"/>
      <c r="J19" s="105"/>
    </row>
    <row r="20" spans="1:10" ht="19.5">
      <c r="A20" s="10" t="s">
        <v>282</v>
      </c>
      <c r="B20" s="194">
        <v>1.8541999999999998</v>
      </c>
      <c r="C20" s="107">
        <v>-0.11683999999999999</v>
      </c>
      <c r="D20" s="12">
        <v>2175.9600240000004</v>
      </c>
      <c r="E20" s="12">
        <f t="shared" si="0"/>
        <v>374.74942029884062</v>
      </c>
      <c r="F20" s="57"/>
      <c r="G20" s="57"/>
      <c r="H20" s="57"/>
      <c r="I20" s="57"/>
      <c r="J20" s="105"/>
    </row>
    <row r="21" spans="1:10" ht="19.5">
      <c r="A21" s="10" t="s">
        <v>283</v>
      </c>
      <c r="B21" s="194">
        <v>2.2859999999999996</v>
      </c>
      <c r="C21" s="107">
        <v>-0.10667999999999998</v>
      </c>
      <c r="D21" s="12">
        <v>2280.5307000000003</v>
      </c>
      <c r="E21" s="12">
        <f t="shared" si="0"/>
        <v>392.75885051770098</v>
      </c>
      <c r="F21" s="57"/>
      <c r="G21" s="57"/>
      <c r="H21" s="57"/>
      <c r="I21" s="57"/>
      <c r="J21" s="105"/>
    </row>
    <row r="22" spans="1:10" ht="19.5">
      <c r="A22" s="10"/>
      <c r="B22" s="194">
        <v>3.0479999999999996</v>
      </c>
      <c r="C22" s="107">
        <v>-6.6039999999999988E-2</v>
      </c>
      <c r="D22" s="12">
        <v>2385.1013760000001</v>
      </c>
      <c r="E22" s="12">
        <f t="shared" si="0"/>
        <v>410.76828073656145</v>
      </c>
      <c r="F22" s="57"/>
      <c r="G22" s="57"/>
      <c r="H22" s="57"/>
      <c r="I22" s="57"/>
      <c r="J22" s="105"/>
    </row>
    <row r="23" spans="1:10" ht="19.5">
      <c r="A23" s="10"/>
      <c r="B23" s="194">
        <v>3.556</v>
      </c>
      <c r="C23" s="107">
        <v>-5.3339999999999992E-2</v>
      </c>
      <c r="D23" s="12">
        <v>2411.8002720000004</v>
      </c>
      <c r="E23" s="12">
        <f t="shared" si="0"/>
        <v>415.36643313286629</v>
      </c>
      <c r="F23" s="57"/>
      <c r="G23" s="57"/>
      <c r="H23" s="57"/>
      <c r="I23" s="57"/>
      <c r="J23" s="105"/>
    </row>
    <row r="24" spans="1:10" ht="19.5">
      <c r="A24" s="10"/>
      <c r="B24" s="194">
        <v>4.0640000000000001</v>
      </c>
      <c r="C24" s="107">
        <v>-4.0640000000000003E-2</v>
      </c>
      <c r="D24" s="12">
        <v>2431.8244440000003</v>
      </c>
      <c r="E24" s="12">
        <f t="shared" si="0"/>
        <v>418.81504743009486</v>
      </c>
      <c r="F24" s="57"/>
      <c r="G24" s="57"/>
      <c r="H24" s="57"/>
      <c r="I24" s="57"/>
      <c r="J24" s="105"/>
    </row>
    <row r="25" spans="1:10" ht="19.5">
      <c r="A25" s="10" t="s">
        <v>284</v>
      </c>
      <c r="B25" s="194">
        <v>4.5719999999999992</v>
      </c>
      <c r="C25" s="107">
        <v>-3.0479999999999997E-2</v>
      </c>
      <c r="D25" s="12">
        <v>2447.3987999999999</v>
      </c>
      <c r="E25" s="12">
        <f t="shared" si="0"/>
        <v>421.49730299460589</v>
      </c>
      <c r="F25" s="57"/>
      <c r="G25" s="57"/>
      <c r="H25" s="57"/>
      <c r="I25" s="57"/>
      <c r="J25" s="105"/>
    </row>
    <row r="26" spans="1:10" ht="19.5">
      <c r="A26" s="10"/>
      <c r="B26" s="194">
        <v>5.08</v>
      </c>
      <c r="C26" s="107">
        <v>-2.0320000000000001E-2</v>
      </c>
      <c r="D26" s="12">
        <v>2447.3987999999999</v>
      </c>
      <c r="E26" s="12">
        <f t="shared" si="0"/>
        <v>421.49730299460589</v>
      </c>
      <c r="F26" s="57"/>
      <c r="G26" s="57"/>
      <c r="H26" s="57"/>
      <c r="I26" s="57"/>
      <c r="J26" s="105"/>
    </row>
    <row r="27" spans="1:10" ht="19.5">
      <c r="A27" s="10"/>
      <c r="B27" s="194">
        <v>5.5880000000000001</v>
      </c>
      <c r="C27" s="107">
        <v>-1.5239999999999998E-2</v>
      </c>
      <c r="D27" s="12">
        <v>2442.9489840000001</v>
      </c>
      <c r="E27" s="12">
        <f t="shared" si="0"/>
        <v>420.73094426188851</v>
      </c>
      <c r="F27" s="57"/>
      <c r="G27" s="57"/>
      <c r="H27" s="57"/>
      <c r="I27" s="57"/>
      <c r="J27" s="105"/>
    </row>
    <row r="28" spans="1:10" ht="19.5">
      <c r="A28" s="10"/>
      <c r="B28" s="194">
        <v>6.0959999999999992</v>
      </c>
      <c r="C28" s="107">
        <v>-1.2699999999999999E-2</v>
      </c>
      <c r="D28" s="12">
        <v>2425.1497199999999</v>
      </c>
      <c r="E28" s="12">
        <f t="shared" si="0"/>
        <v>417.6655093310186</v>
      </c>
      <c r="F28" s="57"/>
      <c r="G28" s="57"/>
      <c r="H28" s="57"/>
      <c r="I28" s="57"/>
      <c r="J28" s="105"/>
    </row>
    <row r="29" spans="1:10" ht="19.5">
      <c r="A29" s="10" t="s">
        <v>285</v>
      </c>
      <c r="B29" s="194">
        <v>6.6040000000000001</v>
      </c>
      <c r="C29" s="107">
        <v>-1.2699999999999999E-2</v>
      </c>
      <c r="D29" s="12">
        <v>2425.1497199999999</v>
      </c>
      <c r="E29" s="12">
        <f t="shared" si="0"/>
        <v>417.6655093310186</v>
      </c>
      <c r="F29" s="57"/>
      <c r="G29" s="57"/>
      <c r="H29" s="57"/>
      <c r="I29" s="57"/>
      <c r="J29" s="105"/>
    </row>
    <row r="30" spans="1:10" ht="19.5">
      <c r="A30" s="10"/>
      <c r="B30" s="194">
        <v>7.1120000000000001</v>
      </c>
      <c r="C30" s="107">
        <v>-1.2699999999999999E-2</v>
      </c>
      <c r="D30" s="12">
        <v>2422.9248120000002</v>
      </c>
      <c r="E30" s="12">
        <f t="shared" si="0"/>
        <v>417.28232996465994</v>
      </c>
      <c r="F30" s="57"/>
      <c r="G30" s="57"/>
      <c r="H30" s="57"/>
      <c r="I30" s="57"/>
      <c r="J30" s="105"/>
    </row>
    <row r="31" spans="1:10" ht="19.5">
      <c r="A31" s="10"/>
      <c r="B31" s="194">
        <v>7.6199999999999992</v>
      </c>
      <c r="C31" s="107">
        <v>-1.2699999999999999E-2</v>
      </c>
      <c r="D31" s="12">
        <v>2407.3504560000001</v>
      </c>
      <c r="E31" s="12">
        <f t="shared" si="0"/>
        <v>414.6000744001488</v>
      </c>
      <c r="F31" s="57"/>
      <c r="G31" s="57"/>
      <c r="H31" s="57"/>
      <c r="I31" s="57"/>
      <c r="J31" s="105"/>
    </row>
    <row r="32" spans="1:10" ht="19.5">
      <c r="A32" s="10"/>
      <c r="B32" s="194">
        <v>8.1280000000000001</v>
      </c>
      <c r="C32" s="107">
        <v>-1.2699999999999999E-2</v>
      </c>
      <c r="D32" s="12">
        <v>2398.450824</v>
      </c>
      <c r="E32" s="12">
        <f t="shared" si="0"/>
        <v>413.06735693471381</v>
      </c>
      <c r="F32" s="57"/>
      <c r="G32" s="57"/>
      <c r="H32" s="57"/>
      <c r="I32" s="57"/>
      <c r="J32" s="105"/>
    </row>
    <row r="33" spans="1:10" ht="19.5">
      <c r="A33" s="10" t="s">
        <v>286</v>
      </c>
      <c r="B33" s="194">
        <v>8.636000000000001</v>
      </c>
      <c r="C33" s="107">
        <v>-1.2699999999999999E-2</v>
      </c>
      <c r="D33" s="12">
        <v>2382.8764680000004</v>
      </c>
      <c r="E33" s="12">
        <f t="shared" si="0"/>
        <v>410.38510137020279</v>
      </c>
      <c r="F33" s="57"/>
      <c r="G33" s="57"/>
      <c r="H33" s="57"/>
      <c r="I33" s="57"/>
      <c r="J33" s="105"/>
    </row>
    <row r="34" spans="1:10" ht="19.5">
      <c r="A34" s="10"/>
      <c r="B34" s="194">
        <v>9.1439999999999984</v>
      </c>
      <c r="C34" s="107">
        <v>-1.5239999999999998E-2</v>
      </c>
      <c r="D34" s="12">
        <v>2385.1013760000001</v>
      </c>
      <c r="E34" s="12">
        <f t="shared" si="0"/>
        <v>410.76828073656145</v>
      </c>
      <c r="F34" s="57"/>
      <c r="G34" s="57"/>
      <c r="H34" s="57"/>
      <c r="I34" s="57"/>
      <c r="J34" s="105"/>
    </row>
    <row r="35" spans="1:10" ht="19.5">
      <c r="A35" s="10"/>
      <c r="B35" s="194">
        <v>9.6519999999999992</v>
      </c>
      <c r="C35" s="107">
        <v>-1.7779999999999997E-2</v>
      </c>
      <c r="D35" s="12">
        <v>2391.7761</v>
      </c>
      <c r="E35" s="12">
        <f t="shared" si="0"/>
        <v>411.9178188356376</v>
      </c>
      <c r="F35" s="57"/>
      <c r="G35" s="57"/>
      <c r="H35" s="57"/>
      <c r="I35" s="57"/>
      <c r="J35" s="105"/>
    </row>
    <row r="36" spans="1:10" ht="19.5">
      <c r="A36" s="10"/>
      <c r="B36" s="194">
        <v>10.16</v>
      </c>
      <c r="C36" s="107">
        <v>-2.2859999999999998E-2</v>
      </c>
      <c r="D36" s="12">
        <v>2402.9006399999998</v>
      </c>
      <c r="E36" s="12">
        <f t="shared" si="0"/>
        <v>413.83371566743125</v>
      </c>
      <c r="F36" s="57"/>
      <c r="G36" s="57"/>
      <c r="H36" s="57"/>
      <c r="I36" s="57"/>
      <c r="J36" s="105"/>
    </row>
    <row r="37" spans="1:10" ht="19.5">
      <c r="A37" s="10" t="s">
        <v>287</v>
      </c>
      <c r="B37" s="194">
        <v>10.667999999999999</v>
      </c>
      <c r="C37" s="107">
        <v>-2.5399999999999999E-2</v>
      </c>
      <c r="D37" s="12">
        <v>2402.9006399999998</v>
      </c>
      <c r="E37" s="12">
        <f t="shared" si="0"/>
        <v>413.83371566743125</v>
      </c>
      <c r="F37" s="57"/>
      <c r="G37" s="57"/>
      <c r="H37" s="57"/>
      <c r="I37" s="57"/>
      <c r="J37" s="105"/>
    </row>
    <row r="38" spans="1:10" ht="19.5">
      <c r="A38" s="10"/>
      <c r="B38" s="194">
        <v>11.176</v>
      </c>
      <c r="C38" s="107">
        <v>-3.0479999999999997E-2</v>
      </c>
      <c r="D38" s="12">
        <v>2407.3504560000001</v>
      </c>
      <c r="E38" s="12">
        <f t="shared" si="0"/>
        <v>414.6000744001488</v>
      </c>
      <c r="F38" s="57"/>
      <c r="G38" s="57"/>
      <c r="H38" s="57"/>
      <c r="I38" s="57"/>
      <c r="J38" s="105"/>
    </row>
    <row r="39" spans="1:10" ht="19.5">
      <c r="A39" s="13" t="s">
        <v>288</v>
      </c>
      <c r="B39" s="47">
        <v>11.683999999999999</v>
      </c>
      <c r="C39" s="63">
        <v>-3.0479999999999997E-2</v>
      </c>
      <c r="D39" s="37">
        <v>2402.9006399999998</v>
      </c>
      <c r="E39" s="37">
        <f t="shared" si="0"/>
        <v>413.83371566743125</v>
      </c>
      <c r="F39" s="44"/>
      <c r="G39" s="44"/>
      <c r="H39" s="44"/>
      <c r="I39" s="44"/>
      <c r="J39" s="105"/>
    </row>
  </sheetData>
  <mergeCells count="8">
    <mergeCell ref="E11:G11"/>
    <mergeCell ref="G9:H9"/>
    <mergeCell ref="A10:B10"/>
    <mergeCell ref="G10:H10"/>
    <mergeCell ref="C1:I1"/>
    <mergeCell ref="A6:C6"/>
    <mergeCell ref="F6:H6"/>
    <mergeCell ref="C4:I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showGridLines="0" tabSelected="1" workbookViewId="0">
      <selection activeCell="W19" sqref="W19"/>
    </sheetView>
  </sheetViews>
  <sheetFormatPr defaultRowHeight="15"/>
  <cols>
    <col min="10" max="10" width="8.7109375" bestFit="1" customWidth="1"/>
    <col min="17" max="17" width="8.5703125" customWidth="1"/>
  </cols>
  <sheetData>
    <row r="1" spans="1:26" ht="15.75">
      <c r="A1" s="226" t="s">
        <v>305</v>
      </c>
      <c r="B1" s="226"/>
      <c r="C1" s="226" t="s">
        <v>306</v>
      </c>
      <c r="D1" s="226"/>
      <c r="E1" s="226" t="s">
        <v>307</v>
      </c>
      <c r="F1" s="226"/>
      <c r="G1" s="226" t="s">
        <v>308</v>
      </c>
      <c r="H1" s="226"/>
      <c r="J1" s="224" t="s">
        <v>319</v>
      </c>
      <c r="K1" s="224"/>
      <c r="L1" s="9"/>
      <c r="M1" s="9"/>
      <c r="N1" s="9"/>
      <c r="O1" s="9"/>
      <c r="P1" s="9"/>
      <c r="Q1" s="9"/>
      <c r="R1" s="9"/>
    </row>
    <row r="2" spans="1:26" ht="19.5">
      <c r="A2">
        <v>0</v>
      </c>
      <c r="B2">
        <v>96.5</v>
      </c>
      <c r="C2">
        <v>0</v>
      </c>
      <c r="D2">
        <v>97.5</v>
      </c>
      <c r="E2">
        <v>0</v>
      </c>
      <c r="F2">
        <v>98.5</v>
      </c>
      <c r="G2">
        <v>0</v>
      </c>
      <c r="H2">
        <v>100</v>
      </c>
      <c r="J2" s="15" t="s">
        <v>267</v>
      </c>
      <c r="K2" s="123" t="s">
        <v>341</v>
      </c>
      <c r="L2" s="123" t="s">
        <v>342</v>
      </c>
      <c r="M2" s="124" t="s">
        <v>261</v>
      </c>
      <c r="N2" s="123" t="s">
        <v>24</v>
      </c>
      <c r="O2" s="123" t="s">
        <v>323</v>
      </c>
      <c r="P2" s="124" t="s">
        <v>324</v>
      </c>
      <c r="Q2" s="123" t="s">
        <v>325</v>
      </c>
      <c r="R2" s="123" t="s">
        <v>343</v>
      </c>
      <c r="S2" s="123" t="s">
        <v>344</v>
      </c>
    </row>
    <row r="3" spans="1:26" ht="18.75">
      <c r="A3">
        <v>143</v>
      </c>
      <c r="B3">
        <v>50</v>
      </c>
      <c r="C3">
        <v>185</v>
      </c>
      <c r="D3">
        <v>50</v>
      </c>
      <c r="E3">
        <v>261</v>
      </c>
      <c r="F3">
        <v>50</v>
      </c>
      <c r="G3">
        <v>300</v>
      </c>
      <c r="H3">
        <v>62.5</v>
      </c>
      <c r="J3" s="46" t="s">
        <v>320</v>
      </c>
      <c r="K3" s="46" t="s">
        <v>321</v>
      </c>
      <c r="L3" s="46" t="s">
        <v>1</v>
      </c>
      <c r="M3" s="46" t="s">
        <v>340</v>
      </c>
      <c r="N3" s="46" t="s">
        <v>322</v>
      </c>
      <c r="O3" s="46" t="s">
        <v>329</v>
      </c>
      <c r="P3" s="46" t="s">
        <v>321</v>
      </c>
      <c r="Q3" s="46" t="s">
        <v>321</v>
      </c>
      <c r="R3" s="46" t="s">
        <v>321</v>
      </c>
      <c r="S3" s="46" t="s">
        <v>321</v>
      </c>
    </row>
    <row r="4" spans="1:26" ht="19.5">
      <c r="J4" s="120" t="s">
        <v>326</v>
      </c>
      <c r="K4" s="109">
        <v>378.5</v>
      </c>
      <c r="L4" s="107">
        <v>0</v>
      </c>
      <c r="M4" s="110">
        <f>100*L4/$E$38</f>
        <v>0</v>
      </c>
      <c r="N4" s="109">
        <f>$E$37/(1-M4/100)</f>
        <v>37.842188889791295</v>
      </c>
      <c r="O4" s="12">
        <v>0</v>
      </c>
      <c r="P4" s="109">
        <f>10*O4/N4</f>
        <v>0</v>
      </c>
      <c r="Q4" s="12">
        <v>1.379</v>
      </c>
      <c r="R4" s="12">
        <f>K4-Q4</f>
        <v>377.12099999999998</v>
      </c>
      <c r="S4" s="12">
        <f>K4+P4-Q4</f>
        <v>377.12099999999998</v>
      </c>
      <c r="T4" s="117"/>
      <c r="Z4" s="118"/>
    </row>
    <row r="5" spans="1:26" ht="19.5">
      <c r="J5" s="120"/>
      <c r="K5" s="109">
        <v>378.5</v>
      </c>
      <c r="L5" s="107">
        <v>7.6200000000000004E-2</v>
      </c>
      <c r="M5" s="110">
        <f t="shared" ref="M5:M42" si="0">100*L5/$E$38</f>
        <v>4.6875E-2</v>
      </c>
      <c r="N5" s="109">
        <f t="shared" ref="N5:N42" si="1">$E$37/(1-M5/100)</f>
        <v>37.859935734666919</v>
      </c>
      <c r="O5" s="12">
        <v>461.25760000000008</v>
      </c>
      <c r="P5" s="109">
        <f t="shared" ref="P5:P42" si="2">10*O5/N5</f>
        <v>121.83264209232237</v>
      </c>
      <c r="Q5" s="12">
        <v>21.374499999999998</v>
      </c>
      <c r="R5" s="12">
        <f t="shared" ref="R5:R42" si="3">K5-Q5</f>
        <v>357.12549999999999</v>
      </c>
      <c r="S5" s="12">
        <f t="shared" ref="S5:S42" si="4">K5+P5-Q5</f>
        <v>478.95814209232236</v>
      </c>
      <c r="T5" s="117"/>
      <c r="Z5" s="118"/>
    </row>
    <row r="6" spans="1:26" ht="19.5">
      <c r="J6" s="120"/>
      <c r="K6" s="109">
        <v>378.5</v>
      </c>
      <c r="L6" s="107">
        <v>0.15240000000000001</v>
      </c>
      <c r="M6" s="110">
        <f t="shared" si="0"/>
        <v>9.375E-2</v>
      </c>
      <c r="N6" s="109">
        <f t="shared" si="1"/>
        <v>37.877699232822067</v>
      </c>
      <c r="O6" s="12">
        <v>603.59360000000004</v>
      </c>
      <c r="P6" s="109">
        <f t="shared" si="2"/>
        <v>159.35329025395757</v>
      </c>
      <c r="Q6" s="12">
        <v>46.885999999999996</v>
      </c>
      <c r="R6" s="12">
        <f t="shared" si="3"/>
        <v>331.61400000000003</v>
      </c>
      <c r="S6" s="12">
        <f t="shared" si="4"/>
        <v>490.96729025395757</v>
      </c>
      <c r="T6" s="117"/>
      <c r="Z6" s="118"/>
    </row>
    <row r="7" spans="1:26" ht="19.5">
      <c r="J7" s="120"/>
      <c r="K7" s="109">
        <v>378.5</v>
      </c>
      <c r="L7" s="107">
        <v>0.55879999999999996</v>
      </c>
      <c r="M7" s="110">
        <f t="shared" si="0"/>
        <v>0.34374999999999994</v>
      </c>
      <c r="N7" s="109">
        <f t="shared" si="1"/>
        <v>37.972720115187251</v>
      </c>
      <c r="O7" s="12">
        <v>780.62400000000002</v>
      </c>
      <c r="P7" s="109">
        <f t="shared" si="2"/>
        <v>205.57494897179834</v>
      </c>
      <c r="Q7" s="12">
        <v>64.123500000000007</v>
      </c>
      <c r="R7" s="12">
        <f t="shared" si="3"/>
        <v>314.37649999999996</v>
      </c>
      <c r="S7" s="12">
        <f t="shared" si="4"/>
        <v>519.9514489717983</v>
      </c>
      <c r="T7" s="117"/>
      <c r="Z7" s="118"/>
    </row>
    <row r="8" spans="1:26" ht="19.5">
      <c r="J8" s="120"/>
      <c r="K8" s="109">
        <v>378.5</v>
      </c>
      <c r="L8" s="107">
        <v>0.78739999999999999</v>
      </c>
      <c r="M8" s="110">
        <f t="shared" si="0"/>
        <v>0.48437499999999994</v>
      </c>
      <c r="N8" s="109">
        <f t="shared" si="1"/>
        <v>38.026379163866274</v>
      </c>
      <c r="O8" s="12">
        <v>825.54880000000003</v>
      </c>
      <c r="P8" s="109">
        <f t="shared" si="2"/>
        <v>217.09897659266483</v>
      </c>
      <c r="Q8" s="12">
        <v>86.876999999999995</v>
      </c>
      <c r="R8" s="12">
        <f t="shared" si="3"/>
        <v>291.62299999999999</v>
      </c>
      <c r="S8" s="12">
        <f t="shared" si="4"/>
        <v>508.72197659266482</v>
      </c>
      <c r="T8" s="117"/>
      <c r="Z8" s="118"/>
    </row>
    <row r="9" spans="1:26" ht="19.5">
      <c r="J9" s="120" t="s">
        <v>330</v>
      </c>
      <c r="K9" s="109">
        <v>378.5</v>
      </c>
      <c r="L9" s="107">
        <v>1.8033999999999997</v>
      </c>
      <c r="M9" s="110">
        <f t="shared" si="0"/>
        <v>1.1093749999999998</v>
      </c>
      <c r="N9" s="109">
        <f t="shared" si="1"/>
        <v>38.266710206140665</v>
      </c>
      <c r="O9" s="12">
        <v>931.85600000000011</v>
      </c>
      <c r="P9" s="109">
        <f t="shared" si="2"/>
        <v>243.51609923616195</v>
      </c>
      <c r="Q9" s="12">
        <v>147.55299999999997</v>
      </c>
      <c r="R9" s="12">
        <f t="shared" si="3"/>
        <v>230.94700000000003</v>
      </c>
      <c r="S9" s="12">
        <f t="shared" si="4"/>
        <v>474.46309923616195</v>
      </c>
      <c r="T9" s="117"/>
      <c r="Z9" s="118"/>
    </row>
    <row r="10" spans="1:26" ht="19.5">
      <c r="J10" s="120"/>
      <c r="K10" s="109">
        <v>378.5</v>
      </c>
      <c r="L10" s="107">
        <v>2.3367999999999998</v>
      </c>
      <c r="M10" s="110">
        <f t="shared" si="0"/>
        <v>1.4374999999999998</v>
      </c>
      <c r="N10" s="109">
        <f t="shared" si="1"/>
        <v>38.394104136757178</v>
      </c>
      <c r="O10" s="12">
        <v>950.9824000000001</v>
      </c>
      <c r="P10" s="109">
        <f t="shared" si="2"/>
        <v>247.68969647336104</v>
      </c>
      <c r="Q10" s="12">
        <v>179.26999999999998</v>
      </c>
      <c r="R10" s="12">
        <f t="shared" si="3"/>
        <v>199.23000000000002</v>
      </c>
      <c r="S10" s="12">
        <f t="shared" si="4"/>
        <v>446.919696473361</v>
      </c>
      <c r="T10" s="117"/>
      <c r="Z10" s="118"/>
    </row>
    <row r="11" spans="1:26" ht="19.5">
      <c r="J11" s="120"/>
      <c r="K11" s="109">
        <v>378.5</v>
      </c>
      <c r="L11" s="107">
        <v>3.1241999999999996</v>
      </c>
      <c r="M11" s="110">
        <f t="shared" si="0"/>
        <v>1.9218749999999998</v>
      </c>
      <c r="N11" s="109">
        <f t="shared" si="1"/>
        <v>38.583719753809824</v>
      </c>
      <c r="O11" s="12">
        <v>964.77120000000014</v>
      </c>
      <c r="P11" s="109">
        <f t="shared" si="2"/>
        <v>250.04618687775351</v>
      </c>
      <c r="Q11" s="12">
        <v>202.71299999999997</v>
      </c>
      <c r="R11" s="12">
        <f t="shared" si="3"/>
        <v>175.78700000000003</v>
      </c>
      <c r="S11" s="12">
        <f t="shared" si="4"/>
        <v>425.83318687775352</v>
      </c>
      <c r="T11" s="117"/>
      <c r="Z11" s="118"/>
    </row>
    <row r="12" spans="1:26" ht="19.5">
      <c r="J12" s="120"/>
      <c r="K12" s="109">
        <v>378.5</v>
      </c>
      <c r="L12" s="107">
        <v>3.5052000000000003</v>
      </c>
      <c r="M12" s="110">
        <f t="shared" si="0"/>
        <v>2.15625</v>
      </c>
      <c r="N12" s="109">
        <f t="shared" si="1"/>
        <v>38.676143228148241</v>
      </c>
      <c r="O12" s="12">
        <v>969.6640000000001</v>
      </c>
      <c r="P12" s="109">
        <f t="shared" si="2"/>
        <v>250.71372661953663</v>
      </c>
      <c r="Q12" s="12">
        <v>210.98699999999999</v>
      </c>
      <c r="R12" s="12">
        <f t="shared" si="3"/>
        <v>167.51300000000001</v>
      </c>
      <c r="S12" s="12">
        <f t="shared" si="4"/>
        <v>418.22672661953663</v>
      </c>
      <c r="T12" s="117"/>
      <c r="Z12" s="118"/>
    </row>
    <row r="13" spans="1:26" ht="19.5">
      <c r="J13" s="120"/>
      <c r="K13" s="109">
        <v>378.5</v>
      </c>
      <c r="L13" s="107">
        <v>3.8861999999999997</v>
      </c>
      <c r="M13" s="110">
        <f t="shared" si="0"/>
        <v>2.3906249999999996</v>
      </c>
      <c r="N13" s="109">
        <f t="shared" si="1"/>
        <v>38.76901054820943</v>
      </c>
      <c r="O13" s="12">
        <v>974.55680000000007</v>
      </c>
      <c r="P13" s="109">
        <f t="shared" si="2"/>
        <v>251.37520566539467</v>
      </c>
      <c r="Q13" s="12">
        <v>217.1925</v>
      </c>
      <c r="R13" s="12">
        <f t="shared" si="3"/>
        <v>161.3075</v>
      </c>
      <c r="S13" s="12">
        <f t="shared" si="4"/>
        <v>412.68270566539468</v>
      </c>
      <c r="T13" s="117"/>
      <c r="Z13" s="118"/>
    </row>
    <row r="14" spans="1:26" ht="19.5">
      <c r="J14" s="120"/>
      <c r="K14" s="109">
        <v>378.5</v>
      </c>
      <c r="L14" s="107">
        <v>4.4195999999999991</v>
      </c>
      <c r="M14" s="110">
        <f t="shared" si="0"/>
        <v>2.7187499999999996</v>
      </c>
      <c r="N14" s="109">
        <f t="shared" si="1"/>
        <v>38.899776565156486</v>
      </c>
      <c r="O14" s="12">
        <v>974.55680000000007</v>
      </c>
      <c r="P14" s="109">
        <f t="shared" si="2"/>
        <v>250.53017936173322</v>
      </c>
      <c r="Q14" s="12">
        <v>224.08749999999998</v>
      </c>
      <c r="R14" s="12">
        <f t="shared" si="3"/>
        <v>154.41250000000002</v>
      </c>
      <c r="S14" s="12">
        <f t="shared" si="4"/>
        <v>404.94267936173321</v>
      </c>
      <c r="T14" s="117"/>
      <c r="Z14" s="118"/>
    </row>
    <row r="15" spans="1:26" ht="19.5">
      <c r="J15" s="120"/>
      <c r="K15" s="109">
        <v>378.5</v>
      </c>
      <c r="L15" s="107">
        <v>4.9276</v>
      </c>
      <c r="M15" s="110">
        <f t="shared" si="0"/>
        <v>3.03125</v>
      </c>
      <c r="N15" s="109">
        <f t="shared" si="1"/>
        <v>39.025138397464431</v>
      </c>
      <c r="O15" s="12">
        <v>973.22240000000011</v>
      </c>
      <c r="P15" s="109">
        <f t="shared" si="2"/>
        <v>249.38345896122001</v>
      </c>
      <c r="Q15" s="12">
        <v>227.535</v>
      </c>
      <c r="R15" s="12">
        <f t="shared" si="3"/>
        <v>150.965</v>
      </c>
      <c r="S15" s="12">
        <f t="shared" si="4"/>
        <v>400.34845896121999</v>
      </c>
      <c r="T15" s="117"/>
      <c r="Z15" s="118"/>
    </row>
    <row r="16" spans="1:26" ht="19.5">
      <c r="J16" s="120"/>
      <c r="K16" s="109">
        <v>378.5</v>
      </c>
      <c r="L16" s="107">
        <v>5.4609999999999994</v>
      </c>
      <c r="M16" s="110">
        <f t="shared" si="0"/>
        <v>3.3593749999999996</v>
      </c>
      <c r="N16" s="109">
        <f t="shared" si="1"/>
        <v>39.157640888385494</v>
      </c>
      <c r="O16" s="12">
        <v>970.55360000000007</v>
      </c>
      <c r="P16" s="109">
        <f t="shared" si="2"/>
        <v>247.85803689411608</v>
      </c>
      <c r="Q16" s="12">
        <v>240.63549999999998</v>
      </c>
      <c r="R16" s="12">
        <f t="shared" si="3"/>
        <v>137.86450000000002</v>
      </c>
      <c r="S16" s="12">
        <f t="shared" si="4"/>
        <v>385.72253689411616</v>
      </c>
      <c r="T16" s="117"/>
      <c r="Z16" s="118"/>
    </row>
    <row r="17" spans="1:26" ht="19.5">
      <c r="J17" s="120" t="s">
        <v>331</v>
      </c>
      <c r="K17" s="109">
        <v>378.5</v>
      </c>
      <c r="L17" s="107">
        <v>5.9943999999999997</v>
      </c>
      <c r="M17" s="110">
        <f t="shared" si="0"/>
        <v>3.6874999999999996</v>
      </c>
      <c r="N17" s="109">
        <f t="shared" si="1"/>
        <v>39.291046219121398</v>
      </c>
      <c r="O17" s="12">
        <v>968.32960000000003</v>
      </c>
      <c r="P17" s="109">
        <f t="shared" si="2"/>
        <v>246.45044944839171</v>
      </c>
      <c r="Q17" s="12">
        <v>244.08299999999997</v>
      </c>
      <c r="R17" s="12">
        <f t="shared" si="3"/>
        <v>134.41700000000003</v>
      </c>
      <c r="S17" s="12">
        <f t="shared" si="4"/>
        <v>380.86744944839177</v>
      </c>
      <c r="T17" s="117"/>
      <c r="Z17" s="118"/>
    </row>
    <row r="18" spans="1:26" ht="19.5">
      <c r="J18" s="120"/>
      <c r="K18" s="109">
        <v>378.5</v>
      </c>
      <c r="L18" s="107">
        <v>6.5278</v>
      </c>
      <c r="M18" s="110">
        <f t="shared" si="0"/>
        <v>4.015625</v>
      </c>
      <c r="N18" s="109">
        <f t="shared" si="1"/>
        <v>39.425363648813985</v>
      </c>
      <c r="O18" s="12">
        <v>961.21280000000002</v>
      </c>
      <c r="P18" s="109">
        <f t="shared" si="2"/>
        <v>243.80569030690876</v>
      </c>
      <c r="Q18" s="12">
        <v>250.97799999999998</v>
      </c>
      <c r="R18" s="12">
        <f t="shared" si="3"/>
        <v>127.52200000000002</v>
      </c>
      <c r="S18" s="12">
        <f t="shared" si="4"/>
        <v>371.32769030690883</v>
      </c>
      <c r="T18" s="117"/>
      <c r="Z18" s="118"/>
    </row>
    <row r="19" spans="1:26" ht="19.5">
      <c r="J19" s="120"/>
      <c r="K19" s="109">
        <v>378.5</v>
      </c>
      <c r="L19" s="107">
        <v>7.0612000000000004</v>
      </c>
      <c r="M19" s="110">
        <f t="shared" si="0"/>
        <v>4.34375</v>
      </c>
      <c r="N19" s="109">
        <f t="shared" si="1"/>
        <v>39.560602563649837</v>
      </c>
      <c r="O19" s="12">
        <v>957.65440000000012</v>
      </c>
      <c r="P19" s="109">
        <f t="shared" si="2"/>
        <v>242.07275368447966</v>
      </c>
      <c r="Q19" s="12">
        <v>254.42549999999997</v>
      </c>
      <c r="R19" s="12">
        <f t="shared" si="3"/>
        <v>124.07450000000003</v>
      </c>
      <c r="S19" s="12">
        <f t="shared" si="4"/>
        <v>366.14725368447978</v>
      </c>
      <c r="T19" s="117"/>
      <c r="Z19" s="118"/>
    </row>
    <row r="20" spans="1:26" ht="19.5">
      <c r="J20" s="120" t="s">
        <v>332</v>
      </c>
      <c r="K20" s="109">
        <v>378.5</v>
      </c>
      <c r="L20" s="107">
        <v>7.5945999999999989</v>
      </c>
      <c r="M20" s="110">
        <f t="shared" si="0"/>
        <v>4.6718749999999991</v>
      </c>
      <c r="N20" s="109">
        <f t="shared" si="1"/>
        <v>39.696772479046764</v>
      </c>
      <c r="O20" s="12">
        <v>954.5408000000001</v>
      </c>
      <c r="P20" s="109">
        <f t="shared" si="2"/>
        <v>240.45803736407979</v>
      </c>
      <c r="Q20" s="12">
        <v>256.49400000000003</v>
      </c>
      <c r="R20" s="12">
        <f t="shared" si="3"/>
        <v>122.00599999999997</v>
      </c>
      <c r="S20" s="12">
        <f t="shared" si="4"/>
        <v>362.46403736407979</v>
      </c>
      <c r="T20" s="117"/>
      <c r="Z20" s="118"/>
    </row>
    <row r="21" spans="1:26" ht="19.5">
      <c r="J21" s="121"/>
      <c r="K21" s="109">
        <v>378.5</v>
      </c>
      <c r="L21" s="107">
        <v>8.1280000000000001</v>
      </c>
      <c r="M21" s="110">
        <f t="shared" si="0"/>
        <v>5</v>
      </c>
      <c r="N21" s="109">
        <f t="shared" si="1"/>
        <v>39.833883041885578</v>
      </c>
      <c r="O21" s="12">
        <v>950.09280000000001</v>
      </c>
      <c r="P21" s="109">
        <f t="shared" si="2"/>
        <v>238.51372937982759</v>
      </c>
      <c r="Q21" s="12">
        <v>264.07849999999996</v>
      </c>
      <c r="R21" s="12">
        <f t="shared" si="3"/>
        <v>114.42150000000004</v>
      </c>
      <c r="S21" s="12">
        <f t="shared" si="4"/>
        <v>352.93522937982766</v>
      </c>
      <c r="T21" s="117"/>
      <c r="Z21" s="118"/>
    </row>
    <row r="22" spans="1:26" ht="19.5">
      <c r="J22" s="121" t="s">
        <v>335</v>
      </c>
      <c r="K22" s="109">
        <v>378.5</v>
      </c>
      <c r="L22" s="107">
        <v>8.6614000000000004</v>
      </c>
      <c r="M22" s="110">
        <f t="shared" si="0"/>
        <v>5.3281250000000009</v>
      </c>
      <c r="N22" s="109">
        <f t="shared" si="1"/>
        <v>39.971944032788301</v>
      </c>
      <c r="O22" s="12">
        <v>942.97600000000011</v>
      </c>
      <c r="P22" s="109">
        <f t="shared" si="2"/>
        <v>235.90946670657127</v>
      </c>
      <c r="Q22" s="12">
        <v>259.94150000000002</v>
      </c>
      <c r="R22" s="12">
        <f t="shared" si="3"/>
        <v>118.55849999999998</v>
      </c>
      <c r="S22" s="12">
        <f t="shared" si="4"/>
        <v>354.46796670657125</v>
      </c>
      <c r="T22" s="117"/>
      <c r="Z22" s="118"/>
    </row>
    <row r="23" spans="1:26" ht="19.5">
      <c r="J23" s="121"/>
      <c r="K23" s="109">
        <v>378.5</v>
      </c>
      <c r="L23" s="107">
        <v>9.1693999999999996</v>
      </c>
      <c r="M23" s="110">
        <f t="shared" si="0"/>
        <v>5.640625</v>
      </c>
      <c r="N23" s="109">
        <f t="shared" si="1"/>
        <v>40.104323380470987</v>
      </c>
      <c r="O23" s="12">
        <v>938.52800000000013</v>
      </c>
      <c r="P23" s="109">
        <f t="shared" si="2"/>
        <v>234.02165175463881</v>
      </c>
      <c r="Q23" s="12">
        <v>264.07849999999996</v>
      </c>
      <c r="R23" s="12">
        <f t="shared" si="3"/>
        <v>114.42150000000004</v>
      </c>
      <c r="S23" s="12">
        <f t="shared" si="4"/>
        <v>348.44315175463885</v>
      </c>
      <c r="T23" s="117"/>
      <c r="Z23" s="118"/>
    </row>
    <row r="24" spans="1:26" ht="19.5">
      <c r="J24" s="121" t="s">
        <v>333</v>
      </c>
      <c r="K24" s="109">
        <v>378.5</v>
      </c>
      <c r="L24" s="107">
        <v>9.7027999999999999</v>
      </c>
      <c r="M24" s="110">
        <f t="shared" si="0"/>
        <v>5.96875</v>
      </c>
      <c r="N24" s="109">
        <f t="shared" si="1"/>
        <v>40.244268676414805</v>
      </c>
      <c r="O24" s="12">
        <v>924.29440000000011</v>
      </c>
      <c r="P24" s="109">
        <f t="shared" si="2"/>
        <v>229.6710638306825</v>
      </c>
      <c r="Q24" s="12">
        <v>266.8365</v>
      </c>
      <c r="R24" s="12">
        <f t="shared" si="3"/>
        <v>111.6635</v>
      </c>
      <c r="S24" s="12">
        <f t="shared" si="4"/>
        <v>341.33456383068244</v>
      </c>
      <c r="T24" s="117"/>
      <c r="Z24" s="118"/>
    </row>
    <row r="25" spans="1:26" ht="19.5">
      <c r="A25" s="9"/>
      <c r="B25" s="9"/>
      <c r="C25" s="9"/>
      <c r="D25" s="9"/>
      <c r="E25" s="9"/>
      <c r="F25" s="9"/>
      <c r="G25" s="9"/>
      <c r="H25" s="9"/>
      <c r="I25" s="9"/>
      <c r="J25" s="121"/>
      <c r="K25" s="109">
        <v>378.5</v>
      </c>
      <c r="L25" s="107">
        <v>10.2362</v>
      </c>
      <c r="M25" s="110">
        <f t="shared" si="0"/>
        <v>6.296875</v>
      </c>
      <c r="N25" s="109">
        <f t="shared" si="1"/>
        <v>40.385194079483789</v>
      </c>
      <c r="O25" s="12">
        <v>921.18080000000009</v>
      </c>
      <c r="P25" s="109">
        <f t="shared" si="2"/>
        <v>228.09864382154154</v>
      </c>
      <c r="Q25" s="12">
        <v>272.35249999999996</v>
      </c>
      <c r="R25" s="12">
        <f t="shared" si="3"/>
        <v>106.14750000000004</v>
      </c>
      <c r="S25" s="12">
        <f t="shared" si="4"/>
        <v>334.24614382154164</v>
      </c>
      <c r="T25" s="117"/>
      <c r="Z25" s="118"/>
    </row>
    <row r="26" spans="1:26" ht="19.5">
      <c r="A26" s="115" t="s">
        <v>316</v>
      </c>
      <c r="B26" s="115"/>
      <c r="C26" s="9"/>
      <c r="D26" s="9"/>
      <c r="E26" s="9"/>
      <c r="F26" s="9"/>
      <c r="G26" s="9"/>
      <c r="H26" s="9"/>
      <c r="I26" s="9"/>
      <c r="J26" s="121" t="s">
        <v>334</v>
      </c>
      <c r="K26" s="109">
        <v>378.5</v>
      </c>
      <c r="L26" s="107">
        <v>10.769599999999999</v>
      </c>
      <c r="M26" s="110">
        <f t="shared" si="0"/>
        <v>6.6249999999999991</v>
      </c>
      <c r="N26" s="109">
        <f t="shared" si="1"/>
        <v>40.527109922132581</v>
      </c>
      <c r="O26" s="12">
        <v>915.39840000000015</v>
      </c>
      <c r="P26" s="109">
        <f t="shared" si="2"/>
        <v>225.87310118062101</v>
      </c>
      <c r="Q26" s="12">
        <v>275.11049999999994</v>
      </c>
      <c r="R26" s="12">
        <f t="shared" si="3"/>
        <v>103.38950000000006</v>
      </c>
      <c r="S26" s="12">
        <f t="shared" si="4"/>
        <v>329.26260118062106</v>
      </c>
      <c r="T26" s="117"/>
      <c r="Z26" s="118"/>
    </row>
    <row r="27" spans="1:26" ht="20.25">
      <c r="A27" s="225" t="s">
        <v>309</v>
      </c>
      <c r="B27" s="225"/>
      <c r="C27" s="225"/>
      <c r="D27" s="225"/>
      <c r="E27" s="113">
        <v>165.1</v>
      </c>
      <c r="F27" s="9"/>
      <c r="G27" s="9"/>
      <c r="H27" s="9"/>
      <c r="I27" s="9"/>
      <c r="J27" s="121"/>
      <c r="K27" s="109">
        <v>378.5</v>
      </c>
      <c r="L27" s="107">
        <v>11.2776</v>
      </c>
      <c r="M27" s="110">
        <f t="shared" si="0"/>
        <v>6.9375</v>
      </c>
      <c r="N27" s="109">
        <f t="shared" si="1"/>
        <v>40.66319826975559</v>
      </c>
      <c r="O27" s="12">
        <v>912.28480000000002</v>
      </c>
      <c r="P27" s="109">
        <f t="shared" si="2"/>
        <v>224.35146245703396</v>
      </c>
      <c r="Q27" s="12">
        <v>278.55799999999999</v>
      </c>
      <c r="R27" s="12">
        <f t="shared" si="3"/>
        <v>99.942000000000007</v>
      </c>
      <c r="S27" s="12">
        <f t="shared" si="4"/>
        <v>324.29346245703391</v>
      </c>
      <c r="T27" s="117"/>
      <c r="Z27" s="118"/>
    </row>
    <row r="28" spans="1:26" ht="20.25">
      <c r="A28" s="225" t="s">
        <v>310</v>
      </c>
      <c r="B28" s="225"/>
      <c r="C28" s="225"/>
      <c r="D28" s="225"/>
      <c r="E28" s="113">
        <v>71</v>
      </c>
      <c r="F28" s="9"/>
      <c r="G28" s="9"/>
      <c r="H28" s="9"/>
      <c r="I28" s="9"/>
      <c r="J28" s="121"/>
      <c r="K28" s="109">
        <v>378.5</v>
      </c>
      <c r="L28" s="107">
        <v>11.811</v>
      </c>
      <c r="M28" s="110">
        <f t="shared" si="0"/>
        <v>7.2656249999999991</v>
      </c>
      <c r="N28" s="109">
        <f t="shared" si="1"/>
        <v>40.807078162538211</v>
      </c>
      <c r="O28" s="12">
        <v>907.83680000000004</v>
      </c>
      <c r="P28" s="109">
        <f t="shared" si="2"/>
        <v>222.47042446509047</v>
      </c>
      <c r="Q28" s="12">
        <v>279.93700000000001</v>
      </c>
      <c r="R28" s="12">
        <f t="shared" si="3"/>
        <v>98.562999999999988</v>
      </c>
      <c r="S28" s="12">
        <f t="shared" si="4"/>
        <v>321.03342446509043</v>
      </c>
      <c r="T28" s="117"/>
      <c r="Z28" s="118"/>
    </row>
    <row r="29" spans="1:26" ht="21">
      <c r="A29" s="225" t="s">
        <v>311</v>
      </c>
      <c r="B29" s="225"/>
      <c r="C29" s="225"/>
      <c r="D29" s="225"/>
      <c r="E29" s="114">
        <f>(PI()/400)*E28*E28</f>
        <v>39.591921416865375</v>
      </c>
      <c r="F29" s="9"/>
      <c r="G29" s="9"/>
      <c r="H29" s="9"/>
      <c r="I29" s="9"/>
      <c r="J29" s="121"/>
      <c r="K29" s="109">
        <v>378.5</v>
      </c>
      <c r="L29" s="107">
        <v>12.344399999999998</v>
      </c>
      <c r="M29" s="110">
        <f t="shared" si="0"/>
        <v>7.5937499999999991</v>
      </c>
      <c r="N29" s="109">
        <f t="shared" si="1"/>
        <v>40.951979860443743</v>
      </c>
      <c r="O29" s="12">
        <v>905.16800000000012</v>
      </c>
      <c r="P29" s="109">
        <f t="shared" si="2"/>
        <v>221.03156015524371</v>
      </c>
      <c r="Q29" s="12">
        <v>281.31599999999997</v>
      </c>
      <c r="R29" s="12">
        <f t="shared" si="3"/>
        <v>97.184000000000026</v>
      </c>
      <c r="S29" s="12">
        <f t="shared" si="4"/>
        <v>318.21556015524374</v>
      </c>
      <c r="T29" s="117"/>
      <c r="Z29" s="118"/>
    </row>
    <row r="30" spans="1:26" ht="21">
      <c r="A30" s="225" t="s">
        <v>312</v>
      </c>
      <c r="B30" s="225"/>
      <c r="C30" s="225"/>
      <c r="D30" s="225"/>
      <c r="E30" s="114">
        <f>E29*E27/10</f>
        <v>653.66262259244729</v>
      </c>
      <c r="F30" s="9"/>
      <c r="G30" s="9"/>
      <c r="H30" s="9"/>
      <c r="I30" s="9"/>
      <c r="J30" s="121" t="s">
        <v>336</v>
      </c>
      <c r="K30" s="109">
        <v>378.5</v>
      </c>
      <c r="L30" s="107">
        <v>12.877799999999999</v>
      </c>
      <c r="M30" s="110">
        <f t="shared" si="0"/>
        <v>7.921875</v>
      </c>
      <c r="N30" s="109">
        <f t="shared" si="1"/>
        <v>41.097914287233039</v>
      </c>
      <c r="O30" s="12">
        <v>897.60640000000012</v>
      </c>
      <c r="P30" s="109">
        <f t="shared" si="2"/>
        <v>218.40680131031354</v>
      </c>
      <c r="Q30" s="12">
        <v>281.31599999999997</v>
      </c>
      <c r="R30" s="12">
        <f t="shared" si="3"/>
        <v>97.184000000000026</v>
      </c>
      <c r="S30" s="12">
        <f t="shared" si="4"/>
        <v>315.59080131031357</v>
      </c>
      <c r="T30" s="117"/>
      <c r="Z30" s="118"/>
    </row>
    <row r="31" spans="1:26" ht="19.5">
      <c r="A31" s="9"/>
      <c r="B31" s="9"/>
      <c r="C31" s="9"/>
      <c r="D31" s="9"/>
      <c r="E31" s="9"/>
      <c r="F31" s="9"/>
      <c r="G31" s="9"/>
      <c r="H31" s="9"/>
      <c r="I31" s="9"/>
      <c r="J31" s="121"/>
      <c r="K31" s="109">
        <v>378.5</v>
      </c>
      <c r="L31" s="107">
        <v>13.411199999999999</v>
      </c>
      <c r="M31" s="110">
        <f t="shared" si="0"/>
        <v>8.25</v>
      </c>
      <c r="N31" s="109">
        <f t="shared" si="1"/>
        <v>41.244892522933291</v>
      </c>
      <c r="O31" s="12">
        <v>894.04800000000012</v>
      </c>
      <c r="P31" s="109">
        <f t="shared" si="2"/>
        <v>216.76574851125747</v>
      </c>
      <c r="Q31" s="12">
        <v>281.31599999999997</v>
      </c>
      <c r="R31" s="12">
        <f t="shared" si="3"/>
        <v>97.184000000000026</v>
      </c>
      <c r="S31" s="12">
        <f t="shared" si="4"/>
        <v>313.9497485112575</v>
      </c>
      <c r="T31" s="117"/>
      <c r="Z31" s="118"/>
    </row>
    <row r="32" spans="1:26" ht="19.5">
      <c r="A32" s="115" t="s">
        <v>313</v>
      </c>
      <c r="B32" s="115"/>
      <c r="C32" s="9"/>
      <c r="D32" s="9"/>
      <c r="E32" s="9"/>
      <c r="F32" s="9"/>
      <c r="G32" s="9"/>
      <c r="H32" s="9"/>
      <c r="I32" s="9"/>
      <c r="J32" s="121"/>
      <c r="K32" s="109">
        <v>378.5</v>
      </c>
      <c r="L32" s="107">
        <v>13.944599999999999</v>
      </c>
      <c r="M32" s="110">
        <f t="shared" si="0"/>
        <v>8.578125</v>
      </c>
      <c r="N32" s="109">
        <f t="shared" si="1"/>
        <v>41.392925806642332</v>
      </c>
      <c r="O32" s="12">
        <v>891.82400000000007</v>
      </c>
      <c r="P32" s="109">
        <f t="shared" si="2"/>
        <v>215.45324052857578</v>
      </c>
      <c r="Q32" s="12">
        <v>278.55799999999999</v>
      </c>
      <c r="R32" s="12">
        <f t="shared" si="3"/>
        <v>99.942000000000007</v>
      </c>
      <c r="S32" s="12">
        <f t="shared" si="4"/>
        <v>315.39524052857575</v>
      </c>
      <c r="T32" s="117"/>
      <c r="Z32" s="118"/>
    </row>
    <row r="33" spans="1:26" ht="20.25">
      <c r="A33" s="225" t="s">
        <v>314</v>
      </c>
      <c r="B33" s="225"/>
      <c r="C33" s="225"/>
      <c r="D33" s="225"/>
      <c r="E33" s="112">
        <v>378.5</v>
      </c>
      <c r="F33" s="9"/>
      <c r="G33" s="9"/>
      <c r="H33" s="9"/>
      <c r="I33" s="9"/>
      <c r="J33" s="121"/>
      <c r="K33" s="109">
        <v>378.5</v>
      </c>
      <c r="L33" s="107">
        <v>14.477999999999998</v>
      </c>
      <c r="M33" s="110">
        <f t="shared" si="0"/>
        <v>8.9062499999999982</v>
      </c>
      <c r="N33" s="109">
        <f t="shared" si="1"/>
        <v>41.542025539393535</v>
      </c>
      <c r="O33" s="12">
        <v>888.71040000000016</v>
      </c>
      <c r="P33" s="109">
        <f t="shared" si="2"/>
        <v>213.93044476303942</v>
      </c>
      <c r="Q33" s="12">
        <v>287.5215</v>
      </c>
      <c r="R33" s="12">
        <f t="shared" si="3"/>
        <v>90.978499999999997</v>
      </c>
      <c r="S33" s="12">
        <f t="shared" si="4"/>
        <v>304.90894476303941</v>
      </c>
      <c r="T33" s="117"/>
      <c r="Z33" s="118"/>
    </row>
    <row r="34" spans="1:26" ht="20.25">
      <c r="A34" s="225" t="s">
        <v>315</v>
      </c>
      <c r="B34" s="225"/>
      <c r="C34" s="225"/>
      <c r="D34" s="225"/>
      <c r="E34" s="112">
        <v>0</v>
      </c>
      <c r="F34" s="9"/>
      <c r="G34" s="9"/>
      <c r="H34" s="9"/>
      <c r="I34" s="9"/>
      <c r="J34" s="121"/>
      <c r="K34" s="109">
        <v>378.5</v>
      </c>
      <c r="L34" s="107">
        <v>15.011399999999998</v>
      </c>
      <c r="M34" s="110">
        <f t="shared" si="0"/>
        <v>9.2343749999999982</v>
      </c>
      <c r="N34" s="109">
        <f t="shared" si="1"/>
        <v>41.692203287082847</v>
      </c>
      <c r="O34" s="12">
        <v>884.26240000000018</v>
      </c>
      <c r="P34" s="109">
        <f t="shared" si="2"/>
        <v>212.09298868452075</v>
      </c>
      <c r="Q34" s="12">
        <v>288.90049999999997</v>
      </c>
      <c r="R34" s="12">
        <f t="shared" si="3"/>
        <v>89.599500000000035</v>
      </c>
      <c r="S34" s="12">
        <f t="shared" si="4"/>
        <v>301.69248868452075</v>
      </c>
      <c r="T34" s="117"/>
      <c r="Z34" s="118"/>
    </row>
    <row r="35" spans="1:26" ht="20.25">
      <c r="A35" s="225" t="s">
        <v>317</v>
      </c>
      <c r="B35" s="225"/>
      <c r="C35" s="225"/>
      <c r="D35" s="225"/>
      <c r="E35" s="112">
        <v>2.54</v>
      </c>
      <c r="F35" s="9"/>
      <c r="G35" s="9"/>
      <c r="H35" s="9"/>
      <c r="I35" s="9"/>
      <c r="J35" s="121"/>
      <c r="K35" s="109">
        <v>378.5</v>
      </c>
      <c r="L35" s="107">
        <v>16.078199999999999</v>
      </c>
      <c r="M35" s="110">
        <f t="shared" si="0"/>
        <v>9.890625</v>
      </c>
      <c r="N35" s="109">
        <f t="shared" si="1"/>
        <v>41.995839933182637</v>
      </c>
      <c r="O35" s="12">
        <v>877.59040000000016</v>
      </c>
      <c r="P35" s="109">
        <f t="shared" si="2"/>
        <v>208.97079363010431</v>
      </c>
      <c r="Q35" s="12">
        <v>290.96899999999999</v>
      </c>
      <c r="R35" s="12">
        <f t="shared" si="3"/>
        <v>87.531000000000006</v>
      </c>
      <c r="S35" s="12">
        <f t="shared" si="4"/>
        <v>296.50179363010426</v>
      </c>
      <c r="T35" s="117"/>
      <c r="Z35" s="118"/>
    </row>
    <row r="36" spans="1:26" ht="21">
      <c r="A36" s="225" t="s">
        <v>318</v>
      </c>
      <c r="B36" s="225"/>
      <c r="C36" s="225"/>
      <c r="D36" s="225"/>
      <c r="E36" s="112">
        <v>38.5</v>
      </c>
      <c r="F36" s="9"/>
      <c r="G36" s="9"/>
      <c r="H36" s="9"/>
      <c r="I36" s="9"/>
      <c r="J36" s="121" t="s">
        <v>337</v>
      </c>
      <c r="K36" s="109">
        <v>378.5</v>
      </c>
      <c r="L36" s="107">
        <v>17.145</v>
      </c>
      <c r="M36" s="110">
        <f t="shared" si="0"/>
        <v>10.546875</v>
      </c>
      <c r="N36" s="109">
        <f t="shared" si="1"/>
        <v>42.30393168465752</v>
      </c>
      <c r="O36" s="12">
        <v>864.24640000000011</v>
      </c>
      <c r="P36" s="109">
        <f t="shared" si="2"/>
        <v>204.29458104326477</v>
      </c>
      <c r="Q36" s="12">
        <v>290.96899999999999</v>
      </c>
      <c r="R36" s="12">
        <f t="shared" si="3"/>
        <v>87.531000000000006</v>
      </c>
      <c r="S36" s="12">
        <f t="shared" si="4"/>
        <v>291.82558104326478</v>
      </c>
      <c r="T36" s="117"/>
      <c r="Z36" s="118"/>
    </row>
    <row r="37" spans="1:26" ht="21">
      <c r="A37" s="225" t="s">
        <v>327</v>
      </c>
      <c r="B37" s="225"/>
      <c r="C37" s="225"/>
      <c r="D37" s="225"/>
      <c r="E37" s="112">
        <f>10*(E30-E36)/(E27-E35)</f>
        <v>37.842188889791295</v>
      </c>
      <c r="F37" s="9"/>
      <c r="G37" s="9"/>
      <c r="H37" s="9"/>
      <c r="I37" s="9"/>
      <c r="J37" s="121"/>
      <c r="K37" s="109">
        <v>378.5</v>
      </c>
      <c r="L37" s="107">
        <v>18.186399999999999</v>
      </c>
      <c r="M37" s="110">
        <f t="shared" si="0"/>
        <v>11.187499999999998</v>
      </c>
      <c r="N37" s="109">
        <f t="shared" si="1"/>
        <v>42.609079678864227</v>
      </c>
      <c r="O37" s="12">
        <v>845.12000000000012</v>
      </c>
      <c r="P37" s="109">
        <f t="shared" si="2"/>
        <v>198.34270215866988</v>
      </c>
      <c r="Q37" s="12">
        <v>290.96899999999999</v>
      </c>
      <c r="R37" s="12">
        <f t="shared" si="3"/>
        <v>87.531000000000006</v>
      </c>
      <c r="S37" s="12">
        <f t="shared" si="4"/>
        <v>285.87370215866991</v>
      </c>
      <c r="T37" s="117"/>
      <c r="Z37" s="118"/>
    </row>
    <row r="38" spans="1:26" ht="20.25">
      <c r="A38" s="225" t="s">
        <v>328</v>
      </c>
      <c r="B38" s="225"/>
      <c r="C38" s="225"/>
      <c r="D38" s="225"/>
      <c r="E38" s="119">
        <f>E27-E35</f>
        <v>162.56</v>
      </c>
      <c r="F38" s="9"/>
      <c r="G38" s="9"/>
      <c r="H38" s="9"/>
      <c r="I38" s="9"/>
      <c r="J38" s="121" t="s">
        <v>338</v>
      </c>
      <c r="K38" s="109">
        <v>378.5</v>
      </c>
      <c r="L38" s="107">
        <v>19.2532</v>
      </c>
      <c r="M38" s="110">
        <f t="shared" si="0"/>
        <v>11.84375</v>
      </c>
      <c r="N38" s="109">
        <f t="shared" si="1"/>
        <v>42.926268857615078</v>
      </c>
      <c r="O38" s="12">
        <v>809.53600000000006</v>
      </c>
      <c r="P38" s="109">
        <f t="shared" si="2"/>
        <v>188.58755292364273</v>
      </c>
      <c r="Q38" s="12">
        <v>297.17449999999997</v>
      </c>
      <c r="R38" s="12">
        <f t="shared" si="3"/>
        <v>81.325500000000034</v>
      </c>
      <c r="S38" s="12">
        <f t="shared" si="4"/>
        <v>269.91305292364279</v>
      </c>
      <c r="T38" s="117"/>
      <c r="Z38" s="118"/>
    </row>
    <row r="39" spans="1:26" ht="19.5">
      <c r="G39" s="9"/>
      <c r="H39" s="9"/>
      <c r="I39" s="9"/>
      <c r="J39" s="121"/>
      <c r="K39" s="109">
        <v>378.5</v>
      </c>
      <c r="L39" s="107">
        <v>20.294599999999999</v>
      </c>
      <c r="M39" s="110">
        <f t="shared" si="0"/>
        <v>12.484374999999998</v>
      </c>
      <c r="N39" s="109">
        <f t="shared" si="1"/>
        <v>43.24049435719769</v>
      </c>
      <c r="O39" s="12">
        <v>768.16960000000006</v>
      </c>
      <c r="P39" s="109">
        <f t="shared" si="2"/>
        <v>177.65051288599173</v>
      </c>
      <c r="Q39" s="12">
        <v>306.82749999999999</v>
      </c>
      <c r="R39" s="12">
        <f t="shared" si="3"/>
        <v>71.672500000000014</v>
      </c>
      <c r="S39" s="12">
        <f t="shared" si="4"/>
        <v>249.32301288599172</v>
      </c>
      <c r="T39" s="117"/>
      <c r="Z39" s="118"/>
    </row>
    <row r="40" spans="1:26" ht="19.5">
      <c r="G40" s="108"/>
      <c r="H40" s="108"/>
      <c r="I40" s="9"/>
      <c r="J40" s="121"/>
      <c r="K40" s="109">
        <v>378.5</v>
      </c>
      <c r="L40" s="107">
        <v>21.386799999999997</v>
      </c>
      <c r="M40" s="110">
        <f t="shared" si="0"/>
        <v>13.156249999999998</v>
      </c>
      <c r="N40" s="109">
        <f t="shared" si="1"/>
        <v>43.575028588460647</v>
      </c>
      <c r="O40" s="12">
        <v>712.56960000000004</v>
      </c>
      <c r="P40" s="109">
        <f t="shared" si="2"/>
        <v>163.52705278286373</v>
      </c>
      <c r="Q40" s="12">
        <v>320.61750000000001</v>
      </c>
      <c r="R40" s="12">
        <f t="shared" si="3"/>
        <v>57.882499999999993</v>
      </c>
      <c r="S40" s="12">
        <f t="shared" si="4"/>
        <v>221.40955278286373</v>
      </c>
      <c r="T40" s="117"/>
      <c r="Z40" s="118"/>
    </row>
    <row r="41" spans="1:26" ht="19.5">
      <c r="G41" s="108"/>
      <c r="H41" s="108"/>
      <c r="I41" s="9"/>
      <c r="J41" s="121"/>
      <c r="K41" s="109">
        <v>378.5</v>
      </c>
      <c r="L41" s="107">
        <v>22.478999999999999</v>
      </c>
      <c r="M41" s="110">
        <f t="shared" si="0"/>
        <v>13.828125</v>
      </c>
      <c r="N41" s="109">
        <f t="shared" si="1"/>
        <v>43.914779491326257</v>
      </c>
      <c r="O41" s="12">
        <v>705.45280000000002</v>
      </c>
      <c r="P41" s="109">
        <f t="shared" si="2"/>
        <v>160.64131669825102</v>
      </c>
      <c r="Q41" s="12">
        <v>317.85949999999997</v>
      </c>
      <c r="R41" s="12">
        <f t="shared" si="3"/>
        <v>60.640500000000031</v>
      </c>
      <c r="S41" s="12">
        <f t="shared" si="4"/>
        <v>221.28181669825102</v>
      </c>
      <c r="T41" s="117"/>
      <c r="Z41" s="118"/>
    </row>
    <row r="42" spans="1:26" ht="19.5">
      <c r="A42" s="9"/>
      <c r="B42" s="9"/>
      <c r="C42" s="9"/>
      <c r="D42" s="9"/>
      <c r="E42" s="9"/>
      <c r="F42" s="9"/>
      <c r="G42" s="9"/>
      <c r="H42" s="9"/>
      <c r="I42" s="9"/>
      <c r="J42" s="122" t="s">
        <v>339</v>
      </c>
      <c r="K42" s="111">
        <v>378.5</v>
      </c>
      <c r="L42" s="63">
        <v>25.654</v>
      </c>
      <c r="M42" s="47">
        <f t="shared" si="0"/>
        <v>15.78125</v>
      </c>
      <c r="N42" s="111">
        <f t="shared" si="1"/>
        <v>44.933211297711374</v>
      </c>
      <c r="O42" s="37">
        <v>691.6640000000001</v>
      </c>
      <c r="P42" s="111">
        <f t="shared" si="2"/>
        <v>153.93157533684428</v>
      </c>
      <c r="Q42" s="37">
        <v>310.96449999999999</v>
      </c>
      <c r="R42" s="37">
        <f t="shared" si="3"/>
        <v>67.535500000000013</v>
      </c>
      <c r="S42" s="37">
        <f t="shared" si="4"/>
        <v>221.46707533684429</v>
      </c>
      <c r="T42" s="117"/>
      <c r="Z42" s="118"/>
    </row>
    <row r="43" spans="1:26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26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26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26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26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26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</sheetData>
  <mergeCells count="15">
    <mergeCell ref="A38:D38"/>
    <mergeCell ref="A37:D37"/>
    <mergeCell ref="A28:D28"/>
    <mergeCell ref="A29:D29"/>
    <mergeCell ref="A27:D27"/>
    <mergeCell ref="A30:D30"/>
    <mergeCell ref="J1:K1"/>
    <mergeCell ref="A33:D33"/>
    <mergeCell ref="A34:D34"/>
    <mergeCell ref="A35:D35"/>
    <mergeCell ref="A36:D36"/>
    <mergeCell ref="A1:B1"/>
    <mergeCell ref="C1:D1"/>
    <mergeCell ref="E1:F1"/>
    <mergeCell ref="G1:H1"/>
  </mergeCells>
  <pageMargins left="0.7" right="0.7" top="0.75" bottom="0.75" header="0.3" footer="0.3"/>
  <pageSetup paperSize="9" orientation="portrait" horizontalDpi="300" verticalDpi="300" r:id="rId1"/>
  <ignoredErrors>
    <ignoredError sqref="J17 J20 J22 J24 J26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showGridLines="0" workbookViewId="0">
      <selection activeCell="A2" sqref="A2:F30"/>
    </sheetView>
  </sheetViews>
  <sheetFormatPr defaultRowHeight="15"/>
  <sheetData>
    <row r="2" spans="1:6" ht="15.75">
      <c r="A2" s="115" t="s">
        <v>316</v>
      </c>
      <c r="B2" s="115"/>
      <c r="C2" s="9"/>
      <c r="D2" s="9"/>
      <c r="E2" s="9"/>
    </row>
    <row r="3" spans="1:6" ht="20.25">
      <c r="A3" s="225" t="s">
        <v>309</v>
      </c>
      <c r="B3" s="225"/>
      <c r="C3" s="225"/>
      <c r="D3" s="225"/>
      <c r="E3" s="113">
        <v>165.1</v>
      </c>
    </row>
    <row r="4" spans="1:6" ht="20.25">
      <c r="A4" s="225" t="s">
        <v>310</v>
      </c>
      <c r="B4" s="225"/>
      <c r="C4" s="225"/>
      <c r="D4" s="225"/>
      <c r="E4" s="113">
        <v>71</v>
      </c>
    </row>
    <row r="5" spans="1:6" ht="21">
      <c r="A5" s="225" t="s">
        <v>311</v>
      </c>
      <c r="B5" s="225"/>
      <c r="C5" s="225"/>
      <c r="D5" s="225"/>
      <c r="E5" s="114">
        <f>(PI()/400)*E4*E4</f>
        <v>39.591921416865375</v>
      </c>
    </row>
    <row r="6" spans="1:6" ht="21">
      <c r="A6" s="225" t="s">
        <v>312</v>
      </c>
      <c r="B6" s="225"/>
      <c r="C6" s="225"/>
      <c r="D6" s="225"/>
      <c r="E6" s="114">
        <f>E5*E3/10</f>
        <v>653.66262259244729</v>
      </c>
    </row>
    <row r="8" spans="1:6" ht="19.5">
      <c r="A8" s="123" t="s">
        <v>345</v>
      </c>
      <c r="B8" s="123" t="s">
        <v>346</v>
      </c>
      <c r="C8" s="124" t="s">
        <v>261</v>
      </c>
      <c r="D8" s="123" t="s">
        <v>323</v>
      </c>
      <c r="E8" s="123" t="s">
        <v>24</v>
      </c>
      <c r="F8" s="124" t="s">
        <v>324</v>
      </c>
    </row>
    <row r="9" spans="1:6" ht="18.75">
      <c r="A9" s="46" t="s">
        <v>321</v>
      </c>
      <c r="B9" s="46" t="s">
        <v>1</v>
      </c>
      <c r="C9" s="46" t="s">
        <v>340</v>
      </c>
      <c r="D9" s="46" t="s">
        <v>329</v>
      </c>
      <c r="E9" s="46" t="s">
        <v>322</v>
      </c>
      <c r="F9" s="46" t="s">
        <v>321</v>
      </c>
    </row>
    <row r="10" spans="1:6" ht="19.5">
      <c r="A10" s="114">
        <v>100</v>
      </c>
      <c r="B10" s="114">
        <v>0</v>
      </c>
      <c r="C10" s="125">
        <f>100*B10/$E$3</f>
        <v>0</v>
      </c>
      <c r="D10" s="114">
        <v>0</v>
      </c>
      <c r="E10" s="126">
        <f>$E$5/(1-C10/100)</f>
        <v>39.591921416865375</v>
      </c>
      <c r="F10" s="126">
        <f>10*D10/E10</f>
        <v>0</v>
      </c>
    </row>
    <row r="11" spans="1:6" ht="19.5">
      <c r="A11" s="114">
        <v>100</v>
      </c>
      <c r="B11" s="114">
        <v>0.15</v>
      </c>
      <c r="C11" s="125">
        <f t="shared" ref="C11:C30" si="0">100*B11/$E$3</f>
        <v>9.0854027861901887E-2</v>
      </c>
      <c r="D11" s="114">
        <v>32.5</v>
      </c>
      <c r="E11" s="126">
        <f t="shared" ref="E11:E30" si="1">$E$5/(1-C11/100)</f>
        <v>39.627924982870404</v>
      </c>
      <c r="F11" s="126">
        <f>10*D11/E11</f>
        <v>8.2012873533117041</v>
      </c>
    </row>
    <row r="12" spans="1:6" ht="19.5">
      <c r="A12" s="114">
        <v>100</v>
      </c>
      <c r="B12" s="114">
        <v>0.3</v>
      </c>
      <c r="C12" s="125">
        <f t="shared" si="0"/>
        <v>0.18170805572380377</v>
      </c>
      <c r="D12" s="114">
        <v>64.400000000000006</v>
      </c>
      <c r="E12" s="126">
        <f t="shared" si="1"/>
        <v>39.663994089347533</v>
      </c>
      <c r="F12" s="126">
        <f t="shared" ref="F12:F30" si="2">10*D12/E12</f>
        <v>16.236388058885819</v>
      </c>
    </row>
    <row r="13" spans="1:6" ht="19.5">
      <c r="A13" s="114">
        <v>100</v>
      </c>
      <c r="B13" s="114">
        <v>0.45</v>
      </c>
      <c r="C13" s="125">
        <f t="shared" si="0"/>
        <v>0.27256208358570566</v>
      </c>
      <c r="D13" s="114">
        <v>95</v>
      </c>
      <c r="E13" s="126">
        <f t="shared" si="1"/>
        <v>39.700128915423463</v>
      </c>
      <c r="F13" s="126">
        <f t="shared" si="2"/>
        <v>23.929393328265135</v>
      </c>
    </row>
    <row r="14" spans="1:6" ht="19.5">
      <c r="A14" s="114">
        <v>100</v>
      </c>
      <c r="B14" s="114">
        <v>0.6</v>
      </c>
      <c r="C14" s="125">
        <f t="shared" si="0"/>
        <v>0.36341611144760755</v>
      </c>
      <c r="D14" s="114">
        <v>128.9</v>
      </c>
      <c r="E14" s="126">
        <f t="shared" si="1"/>
        <v>39.73632964087826</v>
      </c>
      <c r="F14" s="126">
        <f t="shared" si="2"/>
        <v>32.438828941915084</v>
      </c>
    </row>
    <row r="15" spans="1:6" ht="19.5">
      <c r="A15" s="114">
        <v>100</v>
      </c>
      <c r="B15" s="114">
        <v>0.75</v>
      </c>
      <c r="C15" s="125">
        <f t="shared" si="0"/>
        <v>0.45427013930950938</v>
      </c>
      <c r="D15" s="114">
        <v>155</v>
      </c>
      <c r="E15" s="126">
        <f t="shared" si="1"/>
        <v>39.772596446148299</v>
      </c>
      <c r="F15" s="126">
        <f t="shared" si="2"/>
        <v>38.971556762674133</v>
      </c>
    </row>
    <row r="16" spans="1:6" ht="19.5">
      <c r="A16" s="114">
        <v>100</v>
      </c>
      <c r="B16" s="114">
        <v>0.9</v>
      </c>
      <c r="C16" s="125">
        <f t="shared" si="0"/>
        <v>0.54512416717141132</v>
      </c>
      <c r="D16" s="114">
        <v>170.2</v>
      </c>
      <c r="E16" s="126">
        <f t="shared" si="1"/>
        <v>39.808929512329314</v>
      </c>
      <c r="F16" s="126">
        <f t="shared" si="2"/>
        <v>42.754226773992244</v>
      </c>
    </row>
    <row r="17" spans="1:6" ht="19.5">
      <c r="A17" s="114">
        <v>100</v>
      </c>
      <c r="B17" s="114">
        <v>1.5</v>
      </c>
      <c r="C17" s="125">
        <f t="shared" si="0"/>
        <v>0.90854027861901876</v>
      </c>
      <c r="D17" s="114">
        <v>196.3</v>
      </c>
      <c r="E17" s="126">
        <f t="shared" si="1"/>
        <v>39.954928031323185</v>
      </c>
      <c r="F17" s="126">
        <f t="shared" si="2"/>
        <v>49.130360051232742</v>
      </c>
    </row>
    <row r="18" spans="1:6" ht="19.5">
      <c r="A18" s="114">
        <v>100</v>
      </c>
      <c r="B18" s="114">
        <v>2.5</v>
      </c>
      <c r="C18" s="125">
        <f t="shared" si="0"/>
        <v>1.5142337976983646</v>
      </c>
      <c r="D18" s="114">
        <v>223.4</v>
      </c>
      <c r="E18" s="126">
        <f t="shared" si="1"/>
        <v>40.200653295968472</v>
      </c>
      <c r="F18" s="126">
        <f t="shared" si="2"/>
        <v>55.571236207348825</v>
      </c>
    </row>
    <row r="19" spans="1:6" ht="19.5">
      <c r="A19" s="114">
        <v>100</v>
      </c>
      <c r="B19" s="114">
        <v>3.5</v>
      </c>
      <c r="C19" s="125">
        <f t="shared" si="0"/>
        <v>2.1199273167777104</v>
      </c>
      <c r="D19" s="114">
        <v>241.9</v>
      </c>
      <c r="E19" s="126">
        <f t="shared" si="1"/>
        <v>40.44941971487917</v>
      </c>
      <c r="F19" s="126">
        <f t="shared" si="2"/>
        <v>59.803082888484056</v>
      </c>
    </row>
    <row r="20" spans="1:6" ht="19.5">
      <c r="A20" s="114">
        <v>100</v>
      </c>
      <c r="B20" s="114">
        <v>4.5</v>
      </c>
      <c r="C20" s="125">
        <f t="shared" si="0"/>
        <v>2.7256208358570566</v>
      </c>
      <c r="D20" s="114">
        <v>255.6</v>
      </c>
      <c r="E20" s="126">
        <f t="shared" si="1"/>
        <v>40.701284096665461</v>
      </c>
      <c r="F20" s="126">
        <f t="shared" si="2"/>
        <v>62.799001474486786</v>
      </c>
    </row>
    <row r="21" spans="1:6" ht="19.5">
      <c r="A21" s="114">
        <v>100</v>
      </c>
      <c r="B21" s="114">
        <v>5.5</v>
      </c>
      <c r="C21" s="125">
        <f t="shared" si="0"/>
        <v>3.3313143549364024</v>
      </c>
      <c r="D21" s="114">
        <v>269.39999999999998</v>
      </c>
      <c r="E21" s="126">
        <f t="shared" si="1"/>
        <v>40.956304673712239</v>
      </c>
      <c r="F21" s="126">
        <f t="shared" si="2"/>
        <v>65.777418677353012</v>
      </c>
    </row>
    <row r="22" spans="1:6" ht="19.5">
      <c r="A22" s="114">
        <v>100</v>
      </c>
      <c r="B22" s="114">
        <v>7.25</v>
      </c>
      <c r="C22" s="125">
        <f t="shared" si="0"/>
        <v>4.3912780133252571</v>
      </c>
      <c r="D22" s="114">
        <v>282.5</v>
      </c>
      <c r="E22" s="126">
        <f t="shared" si="1"/>
        <v>41.410365701136989</v>
      </c>
      <c r="F22" s="126">
        <f t="shared" si="2"/>
        <v>68.219634194692347</v>
      </c>
    </row>
    <row r="23" spans="1:6" ht="19.5">
      <c r="A23" s="114">
        <v>100</v>
      </c>
      <c r="B23" s="114">
        <v>8.5</v>
      </c>
      <c r="C23" s="125">
        <f t="shared" si="0"/>
        <v>5.1483949121744397</v>
      </c>
      <c r="D23" s="114">
        <v>281.10000000000002</v>
      </c>
      <c r="E23" s="126">
        <f t="shared" si="1"/>
        <v>41.740908211522814</v>
      </c>
      <c r="F23" s="126">
        <f t="shared" si="2"/>
        <v>67.344006645835449</v>
      </c>
    </row>
    <row r="24" spans="1:6" ht="19.5">
      <c r="A24" s="114">
        <v>100</v>
      </c>
      <c r="B24" s="114">
        <v>10</v>
      </c>
      <c r="C24" s="125">
        <f t="shared" si="0"/>
        <v>6.0569351907934585</v>
      </c>
      <c r="D24" s="114">
        <v>270</v>
      </c>
      <c r="E24" s="126">
        <f t="shared" si="1"/>
        <v>42.144592043355729</v>
      </c>
      <c r="F24" s="126">
        <f t="shared" si="2"/>
        <v>64.065159231400514</v>
      </c>
    </row>
    <row r="25" spans="1:6" ht="19.5">
      <c r="A25" s="114">
        <v>100</v>
      </c>
      <c r="B25" s="114">
        <v>12</v>
      </c>
      <c r="C25" s="125">
        <f t="shared" si="0"/>
        <v>7.2683222289521501</v>
      </c>
      <c r="D25" s="114">
        <v>260.10000000000002</v>
      </c>
      <c r="E25" s="126">
        <f t="shared" si="1"/>
        <v>42.695141906756845</v>
      </c>
      <c r="F25" s="126">
        <f t="shared" si="2"/>
        <v>60.920280009383717</v>
      </c>
    </row>
    <row r="26" spans="1:6" ht="19.5">
      <c r="A26" s="114">
        <v>100</v>
      </c>
      <c r="B26" s="114">
        <v>14</v>
      </c>
      <c r="C26" s="125">
        <f t="shared" si="0"/>
        <v>8.4797092671108416</v>
      </c>
      <c r="D26" s="114">
        <v>253.4</v>
      </c>
      <c r="E26" s="126">
        <f t="shared" si="1"/>
        <v>43.260266220545816</v>
      </c>
      <c r="F26" s="126">
        <f t="shared" si="2"/>
        <v>58.575691307154152</v>
      </c>
    </row>
    <row r="27" spans="1:6" ht="19.5">
      <c r="A27" s="114">
        <v>100</v>
      </c>
      <c r="B27" s="114">
        <v>16</v>
      </c>
      <c r="C27" s="125">
        <f t="shared" si="0"/>
        <v>9.691096305269534</v>
      </c>
      <c r="D27" s="114">
        <v>251.6</v>
      </c>
      <c r="E27" s="126">
        <f t="shared" si="1"/>
        <v>43.840551481720141</v>
      </c>
      <c r="F27" s="126">
        <f t="shared" si="2"/>
        <v>57.389789018714268</v>
      </c>
    </row>
    <row r="28" spans="1:6" ht="19.5">
      <c r="A28" s="114">
        <v>100</v>
      </c>
      <c r="B28" s="114">
        <v>18</v>
      </c>
      <c r="C28" s="125">
        <f t="shared" si="0"/>
        <v>10.902483343428226</v>
      </c>
      <c r="D28" s="114">
        <v>249.5</v>
      </c>
      <c r="E28" s="126">
        <f t="shared" si="1"/>
        <v>44.436616083782958</v>
      </c>
      <c r="F28" s="126">
        <f t="shared" si="2"/>
        <v>56.147389695376567</v>
      </c>
    </row>
    <row r="29" spans="1:6" ht="19.5">
      <c r="A29" s="114">
        <v>100</v>
      </c>
      <c r="B29" s="114">
        <v>20</v>
      </c>
      <c r="C29" s="125">
        <f t="shared" si="0"/>
        <v>12.113870381586917</v>
      </c>
      <c r="D29" s="114">
        <v>246.25</v>
      </c>
      <c r="E29" s="126">
        <f t="shared" si="1"/>
        <v>45.049112514986028</v>
      </c>
      <c r="F29" s="126">
        <f t="shared" si="2"/>
        <v>54.6625640889335</v>
      </c>
    </row>
    <row r="30" spans="1:6" ht="19.5">
      <c r="A30" s="116">
        <v>100</v>
      </c>
      <c r="B30" s="116">
        <v>22</v>
      </c>
      <c r="C30" s="63">
        <f t="shared" si="0"/>
        <v>13.32525741974561</v>
      </c>
      <c r="D30" s="116">
        <v>241.5</v>
      </c>
      <c r="E30" s="47">
        <f t="shared" si="1"/>
        <v>45.678729740911763</v>
      </c>
      <c r="F30" s="47">
        <f t="shared" si="2"/>
        <v>52.869246007885941</v>
      </c>
    </row>
  </sheetData>
  <mergeCells count="4">
    <mergeCell ref="A3:D3"/>
    <mergeCell ref="A4:D4"/>
    <mergeCell ref="A5:D5"/>
    <mergeCell ref="A6:D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showGridLines="0" workbookViewId="0">
      <selection sqref="A1:I13"/>
    </sheetView>
  </sheetViews>
  <sheetFormatPr defaultRowHeight="12.75"/>
  <cols>
    <col min="1" max="4" width="9.140625" style="35"/>
    <col min="5" max="5" width="7.42578125" style="35" customWidth="1"/>
    <col min="6" max="8" width="9.140625" style="35"/>
    <col min="9" max="10" width="9.140625" style="35" customWidth="1"/>
    <col min="11" max="255" width="9.140625" style="35"/>
    <col min="256" max="256" width="4.28515625" style="35" customWidth="1"/>
    <col min="257" max="511" width="9.140625" style="35"/>
    <col min="512" max="512" width="4.28515625" style="35" customWidth="1"/>
    <col min="513" max="767" width="9.140625" style="35"/>
    <col min="768" max="768" width="4.28515625" style="35" customWidth="1"/>
    <col min="769" max="1023" width="9.140625" style="35"/>
    <col min="1024" max="1024" width="4.28515625" style="35" customWidth="1"/>
    <col min="1025" max="1279" width="9.140625" style="35"/>
    <col min="1280" max="1280" width="4.28515625" style="35" customWidth="1"/>
    <col min="1281" max="1535" width="9.140625" style="35"/>
    <col min="1536" max="1536" width="4.28515625" style="35" customWidth="1"/>
    <col min="1537" max="1791" width="9.140625" style="35"/>
    <col min="1792" max="1792" width="4.28515625" style="35" customWidth="1"/>
    <col min="1793" max="2047" width="9.140625" style="35"/>
    <col min="2048" max="2048" width="4.28515625" style="35" customWidth="1"/>
    <col min="2049" max="2303" width="9.140625" style="35"/>
    <col min="2304" max="2304" width="4.28515625" style="35" customWidth="1"/>
    <col min="2305" max="2559" width="9.140625" style="35"/>
    <col min="2560" max="2560" width="4.28515625" style="35" customWidth="1"/>
    <col min="2561" max="2815" width="9.140625" style="35"/>
    <col min="2816" max="2816" width="4.28515625" style="35" customWidth="1"/>
    <col min="2817" max="3071" width="9.140625" style="35"/>
    <col min="3072" max="3072" width="4.28515625" style="35" customWidth="1"/>
    <col min="3073" max="3327" width="9.140625" style="35"/>
    <col min="3328" max="3328" width="4.28515625" style="35" customWidth="1"/>
    <col min="3329" max="3583" width="9.140625" style="35"/>
    <col min="3584" max="3584" width="4.28515625" style="35" customWidth="1"/>
    <col min="3585" max="3839" width="9.140625" style="35"/>
    <col min="3840" max="3840" width="4.28515625" style="35" customWidth="1"/>
    <col min="3841" max="4095" width="9.140625" style="35"/>
    <col min="4096" max="4096" width="4.28515625" style="35" customWidth="1"/>
    <col min="4097" max="4351" width="9.140625" style="35"/>
    <col min="4352" max="4352" width="4.28515625" style="35" customWidth="1"/>
    <col min="4353" max="4607" width="9.140625" style="35"/>
    <col min="4608" max="4608" width="4.28515625" style="35" customWidth="1"/>
    <col min="4609" max="4863" width="9.140625" style="35"/>
    <col min="4864" max="4864" width="4.28515625" style="35" customWidth="1"/>
    <col min="4865" max="5119" width="9.140625" style="35"/>
    <col min="5120" max="5120" width="4.28515625" style="35" customWidth="1"/>
    <col min="5121" max="5375" width="9.140625" style="35"/>
    <col min="5376" max="5376" width="4.28515625" style="35" customWidth="1"/>
    <col min="5377" max="5631" width="9.140625" style="35"/>
    <col min="5632" max="5632" width="4.28515625" style="35" customWidth="1"/>
    <col min="5633" max="5887" width="9.140625" style="35"/>
    <col min="5888" max="5888" width="4.28515625" style="35" customWidth="1"/>
    <col min="5889" max="6143" width="9.140625" style="35"/>
    <col min="6144" max="6144" width="4.28515625" style="35" customWidth="1"/>
    <col min="6145" max="6399" width="9.140625" style="35"/>
    <col min="6400" max="6400" width="4.28515625" style="35" customWidth="1"/>
    <col min="6401" max="6655" width="9.140625" style="35"/>
    <col min="6656" max="6656" width="4.28515625" style="35" customWidth="1"/>
    <col min="6657" max="6911" width="9.140625" style="35"/>
    <col min="6912" max="6912" width="4.28515625" style="35" customWidth="1"/>
    <col min="6913" max="7167" width="9.140625" style="35"/>
    <col min="7168" max="7168" width="4.28515625" style="35" customWidth="1"/>
    <col min="7169" max="7423" width="9.140625" style="35"/>
    <col min="7424" max="7424" width="4.28515625" style="35" customWidth="1"/>
    <col min="7425" max="7679" width="9.140625" style="35"/>
    <col min="7680" max="7680" width="4.28515625" style="35" customWidth="1"/>
    <col min="7681" max="7935" width="9.140625" style="35"/>
    <col min="7936" max="7936" width="4.28515625" style="35" customWidth="1"/>
    <col min="7937" max="8191" width="9.140625" style="35"/>
    <col min="8192" max="8192" width="4.28515625" style="35" customWidth="1"/>
    <col min="8193" max="8447" width="9.140625" style="35"/>
    <col min="8448" max="8448" width="4.28515625" style="35" customWidth="1"/>
    <col min="8449" max="8703" width="9.140625" style="35"/>
    <col min="8704" max="8704" width="4.28515625" style="35" customWidth="1"/>
    <col min="8705" max="8959" width="9.140625" style="35"/>
    <col min="8960" max="8960" width="4.28515625" style="35" customWidth="1"/>
    <col min="8961" max="9215" width="9.140625" style="35"/>
    <col min="9216" max="9216" width="4.28515625" style="35" customWidth="1"/>
    <col min="9217" max="9471" width="9.140625" style="35"/>
    <col min="9472" max="9472" width="4.28515625" style="35" customWidth="1"/>
    <col min="9473" max="9727" width="9.140625" style="35"/>
    <col min="9728" max="9728" width="4.28515625" style="35" customWidth="1"/>
    <col min="9729" max="9983" width="9.140625" style="35"/>
    <col min="9984" max="9984" width="4.28515625" style="35" customWidth="1"/>
    <col min="9985" max="10239" width="9.140625" style="35"/>
    <col min="10240" max="10240" width="4.28515625" style="35" customWidth="1"/>
    <col min="10241" max="10495" width="9.140625" style="35"/>
    <col min="10496" max="10496" width="4.28515625" style="35" customWidth="1"/>
    <col min="10497" max="10751" width="9.140625" style="35"/>
    <col min="10752" max="10752" width="4.28515625" style="35" customWidth="1"/>
    <col min="10753" max="11007" width="9.140625" style="35"/>
    <col min="11008" max="11008" width="4.28515625" style="35" customWidth="1"/>
    <col min="11009" max="11263" width="9.140625" style="35"/>
    <col min="11264" max="11264" width="4.28515625" style="35" customWidth="1"/>
    <col min="11265" max="11519" width="9.140625" style="35"/>
    <col min="11520" max="11520" width="4.28515625" style="35" customWidth="1"/>
    <col min="11521" max="11775" width="9.140625" style="35"/>
    <col min="11776" max="11776" width="4.28515625" style="35" customWidth="1"/>
    <col min="11777" max="12031" width="9.140625" style="35"/>
    <col min="12032" max="12032" width="4.28515625" style="35" customWidth="1"/>
    <col min="12033" max="12287" width="9.140625" style="35"/>
    <col min="12288" max="12288" width="4.28515625" style="35" customWidth="1"/>
    <col min="12289" max="12543" width="9.140625" style="35"/>
    <col min="12544" max="12544" width="4.28515625" style="35" customWidth="1"/>
    <col min="12545" max="12799" width="9.140625" style="35"/>
    <col min="12800" max="12800" width="4.28515625" style="35" customWidth="1"/>
    <col min="12801" max="13055" width="9.140625" style="35"/>
    <col min="13056" max="13056" width="4.28515625" style="35" customWidth="1"/>
    <col min="13057" max="13311" width="9.140625" style="35"/>
    <col min="13312" max="13312" width="4.28515625" style="35" customWidth="1"/>
    <col min="13313" max="13567" width="9.140625" style="35"/>
    <col min="13568" max="13568" width="4.28515625" style="35" customWidth="1"/>
    <col min="13569" max="13823" width="9.140625" style="35"/>
    <col min="13824" max="13824" width="4.28515625" style="35" customWidth="1"/>
    <col min="13825" max="14079" width="9.140625" style="35"/>
    <col min="14080" max="14080" width="4.28515625" style="35" customWidth="1"/>
    <col min="14081" max="14335" width="9.140625" style="35"/>
    <col min="14336" max="14336" width="4.28515625" style="35" customWidth="1"/>
    <col min="14337" max="14591" width="9.140625" style="35"/>
    <col min="14592" max="14592" width="4.28515625" style="35" customWidth="1"/>
    <col min="14593" max="14847" width="9.140625" style="35"/>
    <col min="14848" max="14848" width="4.28515625" style="35" customWidth="1"/>
    <col min="14849" max="15103" width="9.140625" style="35"/>
    <col min="15104" max="15104" width="4.28515625" style="35" customWidth="1"/>
    <col min="15105" max="15359" width="9.140625" style="35"/>
    <col min="15360" max="15360" width="4.28515625" style="35" customWidth="1"/>
    <col min="15361" max="15615" width="9.140625" style="35"/>
    <col min="15616" max="15616" width="4.28515625" style="35" customWidth="1"/>
    <col min="15617" max="15871" width="9.140625" style="35"/>
    <col min="15872" max="15872" width="4.28515625" style="35" customWidth="1"/>
    <col min="15873" max="16127" width="9.140625" style="35"/>
    <col min="16128" max="16128" width="4.28515625" style="35" customWidth="1"/>
    <col min="16129" max="16384" width="9.140625" style="35"/>
  </cols>
  <sheetData>
    <row r="1" spans="1:11" ht="19.5">
      <c r="A1" s="229" t="s">
        <v>91</v>
      </c>
      <c r="B1" s="229"/>
      <c r="C1" s="229"/>
      <c r="D1" s="229"/>
      <c r="E1" s="229"/>
      <c r="F1" s="229"/>
      <c r="G1" s="229"/>
      <c r="H1" s="229"/>
      <c r="I1" s="229"/>
      <c r="J1" s="40"/>
    </row>
    <row r="2" spans="1:11" ht="19.5">
      <c r="A2" s="228" t="s">
        <v>92</v>
      </c>
      <c r="B2" s="228"/>
      <c r="C2" s="228"/>
      <c r="D2" s="228"/>
      <c r="E2" s="228"/>
      <c r="F2" s="228"/>
      <c r="G2" s="228"/>
      <c r="H2" s="228"/>
      <c r="I2" s="228"/>
      <c r="J2" s="40"/>
    </row>
    <row r="3" spans="1:11" ht="19.5">
      <c r="A3" s="228" t="s">
        <v>93</v>
      </c>
      <c r="B3" s="228"/>
      <c r="C3" s="228"/>
      <c r="D3" s="228"/>
      <c r="E3" s="228" t="s">
        <v>129</v>
      </c>
      <c r="F3" s="228"/>
      <c r="G3" s="228"/>
      <c r="H3" s="228"/>
      <c r="I3" s="228"/>
      <c r="J3" s="42"/>
    </row>
    <row r="4" spans="1:11" ht="19.5">
      <c r="A4" s="227" t="s">
        <v>128</v>
      </c>
      <c r="B4" s="227"/>
      <c r="C4" s="227"/>
      <c r="D4" s="227"/>
      <c r="E4" s="227"/>
      <c r="F4" s="227"/>
      <c r="G4" s="227"/>
      <c r="H4" s="227"/>
      <c r="I4" s="227"/>
      <c r="J4" s="40"/>
    </row>
    <row r="5" spans="1:11" ht="19.5">
      <c r="A5" s="228" t="s">
        <v>0</v>
      </c>
      <c r="B5" s="228"/>
      <c r="C5" s="228"/>
      <c r="D5" s="228"/>
      <c r="E5" s="228"/>
      <c r="F5" s="50" t="s">
        <v>123</v>
      </c>
      <c r="G5" s="50" t="s">
        <v>124</v>
      </c>
      <c r="H5" s="50" t="s">
        <v>10</v>
      </c>
      <c r="I5" s="50" t="s">
        <v>125</v>
      </c>
      <c r="J5" s="32"/>
      <c r="K5" s="36"/>
    </row>
    <row r="6" spans="1:11" ht="19.5">
      <c r="A6" s="228" t="s">
        <v>118</v>
      </c>
      <c r="B6" s="228"/>
      <c r="C6" s="228"/>
      <c r="D6" s="228"/>
      <c r="E6" s="228"/>
      <c r="F6" s="50">
        <v>1</v>
      </c>
      <c r="G6" s="50">
        <v>2</v>
      </c>
      <c r="H6" s="50">
        <v>3</v>
      </c>
      <c r="I6" s="50">
        <v>4</v>
      </c>
      <c r="J6" s="32"/>
      <c r="K6" s="36"/>
    </row>
    <row r="7" spans="1:11" ht="19.5">
      <c r="A7" s="228" t="s">
        <v>119</v>
      </c>
      <c r="B7" s="228"/>
      <c r="C7" s="228"/>
      <c r="D7" s="228"/>
      <c r="E7" s="228"/>
      <c r="F7" s="51">
        <v>82.95</v>
      </c>
      <c r="G7" s="51">
        <v>80.8</v>
      </c>
      <c r="H7" s="51">
        <v>84.45</v>
      </c>
      <c r="I7" s="51">
        <v>80.8</v>
      </c>
      <c r="J7" s="48"/>
      <c r="K7" s="36"/>
    </row>
    <row r="8" spans="1:11" ht="19.5">
      <c r="A8" s="152" t="s">
        <v>117</v>
      </c>
      <c r="B8" s="152"/>
      <c r="C8" s="152"/>
      <c r="D8" s="152"/>
      <c r="E8" s="152"/>
      <c r="F8" s="51">
        <v>284.29000000000002</v>
      </c>
      <c r="G8" s="51">
        <v>281.57</v>
      </c>
      <c r="H8" s="51">
        <v>284.89</v>
      </c>
      <c r="I8" s="51">
        <v>280.82</v>
      </c>
      <c r="J8" s="48"/>
      <c r="K8" s="36"/>
    </row>
    <row r="9" spans="1:11" ht="19.5">
      <c r="A9" s="228" t="s">
        <v>120</v>
      </c>
      <c r="B9" s="228"/>
      <c r="C9" s="228"/>
      <c r="D9" s="228"/>
      <c r="E9" s="228"/>
      <c r="F9" s="51">
        <v>283.3</v>
      </c>
      <c r="G9" s="51">
        <v>280.64999999999998</v>
      </c>
      <c r="H9" s="51">
        <v>283.95</v>
      </c>
      <c r="I9" s="51">
        <v>279.77999999999997</v>
      </c>
      <c r="J9" s="48"/>
      <c r="K9" s="36"/>
    </row>
    <row r="10" spans="1:11" ht="20.25">
      <c r="A10" s="228" t="s">
        <v>121</v>
      </c>
      <c r="B10" s="228"/>
      <c r="C10" s="228"/>
      <c r="D10" s="228"/>
      <c r="E10" s="228"/>
      <c r="F10" s="51">
        <f>F8-F7</f>
        <v>201.34000000000003</v>
      </c>
      <c r="G10" s="51">
        <f>G8-G7</f>
        <v>200.76999999999998</v>
      </c>
      <c r="H10" s="51">
        <f>H8-H7</f>
        <v>200.44</v>
      </c>
      <c r="I10" s="51">
        <f>I8-I7</f>
        <v>200.01999999999998</v>
      </c>
      <c r="J10" s="48"/>
      <c r="K10" s="36"/>
    </row>
    <row r="11" spans="1:11" ht="20.25">
      <c r="A11" s="228" t="s">
        <v>122</v>
      </c>
      <c r="B11" s="228"/>
      <c r="C11" s="228"/>
      <c r="D11" s="228"/>
      <c r="E11" s="228"/>
      <c r="F11" s="51">
        <f>F9-F7</f>
        <v>200.35000000000002</v>
      </c>
      <c r="G11" s="51">
        <f>G9-G7</f>
        <v>199.84999999999997</v>
      </c>
      <c r="H11" s="51">
        <f>H9-H7</f>
        <v>199.5</v>
      </c>
      <c r="I11" s="51">
        <f>I9-I7</f>
        <v>198.97999999999996</v>
      </c>
      <c r="J11" s="48"/>
      <c r="K11" s="36"/>
    </row>
    <row r="12" spans="1:11" ht="19.5">
      <c r="A12" s="228" t="s">
        <v>126</v>
      </c>
      <c r="B12" s="228"/>
      <c r="C12" s="228"/>
      <c r="D12" s="228"/>
      <c r="E12" s="228"/>
      <c r="F12" s="51">
        <f>F11*100/F10</f>
        <v>99.50829442733685</v>
      </c>
      <c r="G12" s="51">
        <f>G11*100/G10</f>
        <v>99.541764207799957</v>
      </c>
      <c r="H12" s="51">
        <f>H11*100/H10</f>
        <v>99.531031730193575</v>
      </c>
      <c r="I12" s="51">
        <f>I11*100/I10</f>
        <v>99.480051994800505</v>
      </c>
      <c r="J12" s="48"/>
      <c r="K12" s="36"/>
    </row>
    <row r="13" spans="1:11" ht="19.5">
      <c r="A13" s="227" t="s">
        <v>127</v>
      </c>
      <c r="B13" s="227"/>
      <c r="C13" s="227"/>
      <c r="D13" s="227"/>
      <c r="E13" s="227"/>
      <c r="F13" s="52">
        <f>100-F12</f>
        <v>0.49170557266315029</v>
      </c>
      <c r="G13" s="53">
        <f>100-G12</f>
        <v>0.45823579220004262</v>
      </c>
      <c r="H13" s="53">
        <f>100-H12</f>
        <v>0.46896826980642459</v>
      </c>
      <c r="I13" s="53">
        <f>100-I12</f>
        <v>0.51994800519949536</v>
      </c>
      <c r="J13" s="49"/>
      <c r="K13" s="36"/>
    </row>
  </sheetData>
  <mergeCells count="13">
    <mergeCell ref="A4:I4"/>
    <mergeCell ref="A12:E12"/>
    <mergeCell ref="A13:E13"/>
    <mergeCell ref="A3:D3"/>
    <mergeCell ref="A1:I1"/>
    <mergeCell ref="A2:I2"/>
    <mergeCell ref="E3:I3"/>
    <mergeCell ref="A5:E5"/>
    <mergeCell ref="A6:E6"/>
    <mergeCell ref="A7:E7"/>
    <mergeCell ref="A9:E9"/>
    <mergeCell ref="A10:E10"/>
    <mergeCell ref="A11:E1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>
      <selection activeCell="U4" sqref="U4"/>
    </sheetView>
  </sheetViews>
  <sheetFormatPr defaultRowHeight="15.75"/>
  <cols>
    <col min="1" max="1" width="11.42578125" style="2" bestFit="1" customWidth="1"/>
    <col min="2" max="2" width="7.5703125" style="2" bestFit="1" customWidth="1"/>
    <col min="3" max="6" width="9.140625" style="2"/>
    <col min="7" max="7" width="32.7109375" style="2" bestFit="1" customWidth="1"/>
    <col min="8" max="16384" width="9.140625" style="2"/>
  </cols>
  <sheetData>
    <row r="1" spans="1:7" ht="19.5">
      <c r="A1" s="38" t="s">
        <v>0</v>
      </c>
      <c r="B1" s="38" t="s">
        <v>9</v>
      </c>
      <c r="C1" s="38" t="s">
        <v>96</v>
      </c>
      <c r="D1" s="38" t="s">
        <v>97</v>
      </c>
      <c r="E1" s="38" t="s">
        <v>98</v>
      </c>
      <c r="F1" s="38" t="s">
        <v>99</v>
      </c>
      <c r="G1" s="38" t="s">
        <v>3</v>
      </c>
    </row>
    <row r="2" spans="1:7" ht="19.5">
      <c r="A2" s="34" t="s">
        <v>5</v>
      </c>
      <c r="B2" s="34">
        <v>12</v>
      </c>
      <c r="C2" s="34">
        <v>49.25</v>
      </c>
      <c r="D2" s="34">
        <v>74.209999999999994</v>
      </c>
      <c r="E2" s="34">
        <v>68.23</v>
      </c>
      <c r="F2" s="12">
        <f>(D2-E2)*100/(E2-C2)</f>
        <v>31.506849315068433</v>
      </c>
      <c r="G2" s="34" t="s">
        <v>4</v>
      </c>
    </row>
    <row r="3" spans="1:7" ht="19.5">
      <c r="A3" s="34" t="s">
        <v>7</v>
      </c>
      <c r="B3" s="34">
        <v>18</v>
      </c>
      <c r="C3" s="34">
        <v>51.04</v>
      </c>
      <c r="D3" s="34">
        <v>81.27</v>
      </c>
      <c r="E3" s="34">
        <v>73.56</v>
      </c>
      <c r="F3" s="12">
        <f t="shared" ref="F3:F5" si="0">(D3-E3)*100/(E3-C3)</f>
        <v>34.23623445825929</v>
      </c>
      <c r="G3" s="34" t="s">
        <v>4</v>
      </c>
    </row>
    <row r="4" spans="1:7" ht="19.5">
      <c r="A4" s="34"/>
      <c r="B4" s="34"/>
      <c r="C4" s="34"/>
      <c r="D4" s="34"/>
      <c r="E4" s="34"/>
      <c r="F4" s="12"/>
      <c r="G4" s="34"/>
    </row>
    <row r="5" spans="1:7" ht="19.5">
      <c r="A5" s="33" t="s">
        <v>6</v>
      </c>
      <c r="B5" s="33" t="s">
        <v>10</v>
      </c>
      <c r="C5" s="33">
        <v>60.34</v>
      </c>
      <c r="D5" s="33">
        <v>189.24</v>
      </c>
      <c r="E5" s="33">
        <v>173.64</v>
      </c>
      <c r="F5" s="37">
        <f t="shared" si="0"/>
        <v>13.768755516328355</v>
      </c>
      <c r="G5" s="33" t="s">
        <v>8</v>
      </c>
    </row>
    <row r="7" spans="1:7" ht="19.5">
      <c r="A7" s="54" t="s">
        <v>130</v>
      </c>
      <c r="B7" s="54"/>
      <c r="C7" s="54"/>
      <c r="D7" s="54"/>
      <c r="E7" s="54"/>
      <c r="F7" s="9"/>
    </row>
    <row r="8" spans="1:7" ht="19.5">
      <c r="A8" s="225" t="s">
        <v>131</v>
      </c>
      <c r="B8" s="225"/>
      <c r="C8" s="225"/>
      <c r="D8" s="225"/>
      <c r="E8" s="225"/>
      <c r="F8" s="225"/>
    </row>
    <row r="9" spans="1:7" ht="19.5">
      <c r="A9" s="225" t="s">
        <v>132</v>
      </c>
      <c r="B9" s="225"/>
      <c r="C9" s="225"/>
      <c r="D9" s="225"/>
      <c r="E9" s="225"/>
      <c r="F9" s="225"/>
    </row>
  </sheetData>
  <mergeCells count="2">
    <mergeCell ref="A8:F8"/>
    <mergeCell ref="A9:F9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>
      <selection activeCell="Q15" sqref="Q15"/>
    </sheetView>
  </sheetViews>
  <sheetFormatPr defaultRowHeight="15"/>
  <cols>
    <col min="1" max="1" width="10.140625" customWidth="1"/>
    <col min="2" max="2" width="10.42578125" customWidth="1"/>
    <col min="3" max="3" width="10.85546875" customWidth="1"/>
    <col min="6" max="8" width="11.28515625" bestFit="1" customWidth="1"/>
  </cols>
  <sheetData>
    <row r="1" spans="1:8" ht="19.5">
      <c r="A1" s="230" t="s">
        <v>33</v>
      </c>
      <c r="B1" s="230"/>
      <c r="C1" s="222" t="s">
        <v>14</v>
      </c>
      <c r="D1" s="222"/>
      <c r="E1" s="222"/>
      <c r="F1" s="222"/>
      <c r="G1" s="222"/>
      <c r="H1" s="5"/>
    </row>
    <row r="2" spans="1:8" ht="19.5">
      <c r="A2" s="213" t="s">
        <v>13</v>
      </c>
      <c r="B2" s="213"/>
      <c r="C2" s="207" t="s">
        <v>15</v>
      </c>
      <c r="D2" s="207"/>
      <c r="E2" s="3"/>
      <c r="F2" s="3"/>
      <c r="G2" s="3"/>
      <c r="H2" s="1"/>
    </row>
    <row r="3" spans="1:8" ht="19.5">
      <c r="A3" s="130" t="s">
        <v>34</v>
      </c>
      <c r="B3" s="130"/>
      <c r="C3" s="129" t="s">
        <v>35</v>
      </c>
      <c r="D3" s="129"/>
      <c r="E3" s="3"/>
      <c r="F3" s="3"/>
      <c r="G3" s="3"/>
      <c r="H3" s="1"/>
    </row>
    <row r="4" spans="1:8" ht="19.5">
      <c r="A4" s="213" t="s">
        <v>11</v>
      </c>
      <c r="B4" s="213"/>
      <c r="C4" s="220">
        <v>38423</v>
      </c>
      <c r="D4" s="220"/>
      <c r="E4" s="3"/>
      <c r="F4" s="3"/>
      <c r="G4" s="3"/>
      <c r="H4" s="1"/>
    </row>
    <row r="5" spans="1:8" ht="19.5">
      <c r="A5" s="213" t="s">
        <v>12</v>
      </c>
      <c r="B5" s="213"/>
      <c r="C5" s="207" t="s">
        <v>16</v>
      </c>
      <c r="D5" s="207"/>
      <c r="E5" s="3"/>
      <c r="F5" s="3"/>
      <c r="G5" s="3"/>
      <c r="H5" s="1"/>
    </row>
    <row r="6" spans="1:8" ht="15.75">
      <c r="A6" s="209" t="s">
        <v>28</v>
      </c>
      <c r="B6" s="209"/>
      <c r="C6" s="4"/>
      <c r="D6" s="4"/>
      <c r="E6" s="4"/>
      <c r="F6" s="4"/>
      <c r="G6" s="4"/>
      <c r="H6" s="4"/>
    </row>
    <row r="7" spans="1:8" ht="19.5">
      <c r="A7" s="57" t="s">
        <v>17</v>
      </c>
      <c r="B7" s="1"/>
      <c r="C7" s="1"/>
      <c r="D7" s="1"/>
      <c r="E7" s="1"/>
      <c r="F7" s="128">
        <v>1</v>
      </c>
      <c r="G7" s="128">
        <v>2</v>
      </c>
      <c r="H7" s="128">
        <v>3</v>
      </c>
    </row>
    <row r="8" spans="1:8" ht="19.5">
      <c r="A8" s="57" t="s">
        <v>18</v>
      </c>
      <c r="B8" s="1"/>
      <c r="C8" s="1"/>
      <c r="D8" s="1"/>
      <c r="E8" s="1"/>
      <c r="F8" s="128">
        <v>5</v>
      </c>
      <c r="G8" s="128">
        <v>5</v>
      </c>
      <c r="H8" s="128">
        <v>5</v>
      </c>
    </row>
    <row r="9" spans="1:8" ht="20.25">
      <c r="A9" s="57" t="s">
        <v>30</v>
      </c>
      <c r="B9" s="1"/>
      <c r="C9" s="1"/>
      <c r="D9" s="1"/>
      <c r="E9" s="1"/>
      <c r="F9" s="128">
        <v>672.26</v>
      </c>
      <c r="G9" s="128">
        <v>672.26</v>
      </c>
      <c r="H9" s="128">
        <v>672.26</v>
      </c>
    </row>
    <row r="10" spans="1:8" ht="20.25">
      <c r="A10" s="127" t="s">
        <v>31</v>
      </c>
      <c r="B10" s="127"/>
      <c r="C10" s="127"/>
      <c r="D10" s="7"/>
      <c r="E10" s="1"/>
      <c r="F10" s="128">
        <v>707.88</v>
      </c>
      <c r="G10" s="128">
        <v>705.98</v>
      </c>
      <c r="H10" s="128">
        <v>706.32</v>
      </c>
    </row>
    <row r="11" spans="1:8" ht="10.5" customHeight="1">
      <c r="A11" s="127"/>
      <c r="B11" s="127"/>
      <c r="C11" s="127"/>
      <c r="D11" s="7"/>
      <c r="E11" s="1"/>
      <c r="F11" s="128"/>
      <c r="G11" s="128"/>
      <c r="H11" s="128"/>
    </row>
    <row r="12" spans="1:8" ht="11.25" customHeight="1">
      <c r="A12" s="57"/>
      <c r="B12" s="1"/>
      <c r="C12" s="1"/>
      <c r="D12" s="1"/>
      <c r="E12" s="1"/>
      <c r="F12" s="128"/>
      <c r="G12" s="128"/>
      <c r="H12" s="128"/>
    </row>
    <row r="13" spans="1:8" ht="19.5">
      <c r="A13" s="199" t="s">
        <v>21</v>
      </c>
      <c r="B13" s="199"/>
      <c r="C13" s="199"/>
      <c r="D13" s="199"/>
      <c r="E13" s="199"/>
      <c r="F13" s="128" t="s">
        <v>24</v>
      </c>
      <c r="G13" s="128" t="s">
        <v>25</v>
      </c>
      <c r="H13" s="128" t="s">
        <v>26</v>
      </c>
    </row>
    <row r="14" spans="1:8" ht="19.5">
      <c r="A14" s="199" t="s">
        <v>19</v>
      </c>
      <c r="B14" s="199"/>
      <c r="C14" s="199"/>
      <c r="D14" s="199"/>
      <c r="E14" s="199"/>
      <c r="F14" s="128">
        <v>445.32</v>
      </c>
      <c r="G14" s="128">
        <v>449.24</v>
      </c>
      <c r="H14" s="128">
        <v>452.67</v>
      </c>
    </row>
    <row r="15" spans="1:8" ht="19.5">
      <c r="A15" s="130" t="s">
        <v>20</v>
      </c>
      <c r="B15" s="130"/>
      <c r="C15" s="130"/>
      <c r="D15" s="130"/>
      <c r="E15" s="1"/>
      <c r="F15" s="128">
        <v>501.34</v>
      </c>
      <c r="G15" s="128">
        <v>502.35</v>
      </c>
      <c r="H15" s="128">
        <v>506.21</v>
      </c>
    </row>
    <row r="16" spans="1:8" ht="20.25">
      <c r="A16" s="199" t="s">
        <v>32</v>
      </c>
      <c r="B16" s="199"/>
      <c r="C16" s="199"/>
      <c r="D16" s="199"/>
      <c r="E16" s="1"/>
      <c r="F16" s="128">
        <f>F15-F14</f>
        <v>56.019999999999982</v>
      </c>
      <c r="G16" s="128">
        <f t="shared" ref="G16:H16" si="0">G15-G14</f>
        <v>53.110000000000014</v>
      </c>
      <c r="H16" s="128">
        <f t="shared" si="0"/>
        <v>53.539999999999964</v>
      </c>
    </row>
    <row r="17" spans="1:8" ht="10.5" customHeight="1">
      <c r="A17" s="127"/>
      <c r="B17" s="127"/>
      <c r="C17" s="127"/>
      <c r="D17" s="127"/>
      <c r="E17" s="1"/>
      <c r="F17" s="128"/>
      <c r="G17" s="128"/>
      <c r="H17" s="128"/>
    </row>
    <row r="18" spans="1:8" ht="10.5" customHeight="1">
      <c r="A18" s="57"/>
      <c r="B18" s="1"/>
      <c r="C18" s="1"/>
      <c r="D18" s="1"/>
      <c r="E18" s="1"/>
      <c r="F18" s="128"/>
      <c r="G18" s="128"/>
      <c r="H18" s="128"/>
    </row>
    <row r="19" spans="1:8" ht="19.5">
      <c r="A19" s="57" t="s">
        <v>22</v>
      </c>
      <c r="B19" s="1"/>
      <c r="C19" s="1"/>
      <c r="D19" s="1"/>
      <c r="E19" s="1"/>
      <c r="F19" s="128">
        <v>25</v>
      </c>
      <c r="G19" s="128">
        <v>25</v>
      </c>
      <c r="H19" s="128">
        <v>25</v>
      </c>
    </row>
    <row r="20" spans="1:8" ht="21">
      <c r="A20" s="199" t="s">
        <v>23</v>
      </c>
      <c r="B20" s="199"/>
      <c r="C20" s="199"/>
      <c r="D20" s="1"/>
      <c r="E20" s="1"/>
      <c r="F20" s="10">
        <v>0.99704999999999999</v>
      </c>
      <c r="G20" s="10">
        <v>0.99704999999999999</v>
      </c>
      <c r="H20" s="10">
        <v>0.99704999999999999</v>
      </c>
    </row>
    <row r="21" spans="1:8" ht="10.5" customHeight="1">
      <c r="A21" s="127"/>
      <c r="B21" s="127"/>
      <c r="C21" s="127"/>
      <c r="D21" s="1"/>
      <c r="E21" s="1"/>
      <c r="F21" s="10"/>
      <c r="G21" s="10"/>
      <c r="H21" s="10"/>
    </row>
    <row r="22" spans="1:8" ht="9" customHeight="1">
      <c r="A22" s="1"/>
      <c r="B22" s="1"/>
      <c r="C22" s="1"/>
      <c r="D22" s="1"/>
      <c r="E22" s="1"/>
      <c r="F22" s="1"/>
      <c r="G22" s="1"/>
      <c r="H22" s="1"/>
    </row>
    <row r="23" spans="1:8" ht="15.75">
      <c r="A23" s="57" t="s">
        <v>27</v>
      </c>
      <c r="B23" s="1"/>
      <c r="C23" s="1"/>
      <c r="D23" s="1"/>
      <c r="E23" s="1"/>
      <c r="F23" s="137">
        <f>F16/(F16+F9-F10)</f>
        <v>2.7460784313725513</v>
      </c>
      <c r="G23" s="137">
        <f>G16/(G16+G9-G10)</f>
        <v>2.7390407426508534</v>
      </c>
      <c r="H23" s="137">
        <f>H16/(H16+H9-H10)</f>
        <v>2.7484599589322496</v>
      </c>
    </row>
    <row r="24" spans="1:8" ht="15.75">
      <c r="A24" s="138" t="s">
        <v>29</v>
      </c>
      <c r="B24" s="8"/>
      <c r="C24" s="8"/>
      <c r="D24" s="8"/>
      <c r="E24" s="8"/>
      <c r="F24" s="139">
        <f>F23*F20/0.99821</f>
        <v>2.7428872682100982</v>
      </c>
      <c r="G24" s="139">
        <f t="shared" ref="G24:H24" si="1">G23*G20/0.99821</f>
        <v>2.7358577578465786</v>
      </c>
      <c r="H24" s="139">
        <f t="shared" si="1"/>
        <v>2.745266028243956</v>
      </c>
    </row>
  </sheetData>
  <mergeCells count="13">
    <mergeCell ref="A14:E14"/>
    <mergeCell ref="A13:E13"/>
    <mergeCell ref="A16:D16"/>
    <mergeCell ref="A20:C20"/>
    <mergeCell ref="A6:B6"/>
    <mergeCell ref="A1:B1"/>
    <mergeCell ref="A2:B2"/>
    <mergeCell ref="A4:B4"/>
    <mergeCell ref="A5:B5"/>
    <mergeCell ref="C4:D4"/>
    <mergeCell ref="C5:D5"/>
    <mergeCell ref="C2:D2"/>
    <mergeCell ref="C1:G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Perm_const</vt:lpstr>
      <vt:lpstr>Perm_falling</vt:lpstr>
      <vt:lpstr>Consol</vt:lpstr>
      <vt:lpstr>DirShear</vt:lpstr>
      <vt:lpstr>CU-Triaxial</vt:lpstr>
      <vt:lpstr>UU-Triaxial</vt:lpstr>
      <vt:lpstr>Organic Content</vt:lpstr>
      <vt:lpstr>Water content</vt:lpstr>
      <vt:lpstr>Sp_gravity</vt:lpstr>
      <vt:lpstr>Sieve</vt:lpstr>
      <vt:lpstr>Hydrometer</vt:lpstr>
      <vt:lpstr>LL_Casagrande</vt:lpstr>
      <vt:lpstr>LL_cone</vt:lpstr>
      <vt:lpstr>Compaction</vt:lpstr>
      <vt:lpstr>Max_min_density</vt:lpstr>
      <vt:lpstr>pH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</dc:creator>
  <cp:lastModifiedBy>siva</cp:lastModifiedBy>
  <cp:lastPrinted>2010-12-01T22:34:35Z</cp:lastPrinted>
  <dcterms:created xsi:type="dcterms:W3CDTF">2009-12-09T01:58:41Z</dcterms:created>
  <dcterms:modified xsi:type="dcterms:W3CDTF">2010-12-10T03:08:52Z</dcterms:modified>
</cp:coreProperties>
</file>