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 activeTab="7"/>
  </bookViews>
  <sheets>
    <sheet name="UCS" sheetId="4" r:id="rId1"/>
    <sheet name="Brazil" sheetId="1" r:id="rId2"/>
    <sheet name="Point Load" sheetId="2" r:id="rId3"/>
    <sheet name="Slake dur" sheetId="3" r:id="rId4"/>
    <sheet name="Water content" sheetId="6" r:id="rId5"/>
    <sheet name="triaxial" sheetId="5" r:id="rId6"/>
    <sheet name="Sheet2" sheetId="9" r:id="rId7"/>
    <sheet name="Schmidt" sheetId="8" r:id="rId8"/>
    <sheet name="Density_Porosity" sheetId="7" r:id="rId9"/>
    <sheet name="Sheet1" sheetId="10" r:id="rId10"/>
  </sheets>
  <calcPr calcId="125725"/>
</workbook>
</file>

<file path=xl/calcChain.xml><?xml version="1.0" encoding="utf-8"?>
<calcChain xmlns="http://schemas.openxmlformats.org/spreadsheetml/2006/main">
  <c r="E4" i="5"/>
  <c r="E5"/>
  <c r="E3"/>
  <c r="F4" i="4"/>
  <c r="F5"/>
  <c r="F6"/>
  <c r="F7"/>
  <c r="F3"/>
  <c r="H17" i="7"/>
  <c r="H16"/>
  <c r="I6"/>
  <c r="I7"/>
  <c r="I5"/>
  <c r="J25" i="8"/>
  <c r="I28"/>
  <c r="I29"/>
  <c r="K2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J23"/>
  <c r="E8"/>
  <c r="B14"/>
  <c r="G16" i="7"/>
  <c r="F17"/>
  <c r="F16"/>
  <c r="E17"/>
  <c r="E16"/>
  <c r="I8"/>
  <c r="H8"/>
  <c r="H7"/>
  <c r="H5"/>
  <c r="G6"/>
  <c r="H6" s="1"/>
  <c r="G7"/>
  <c r="G5"/>
  <c r="D6"/>
  <c r="D7"/>
  <c r="D5"/>
  <c r="E3" i="6"/>
  <c r="E4"/>
  <c r="E2"/>
  <c r="I4" i="5"/>
  <c r="I5"/>
  <c r="I3"/>
  <c r="H4"/>
  <c r="H5"/>
  <c r="H3"/>
  <c r="H18" i="7" l="1"/>
  <c r="G17"/>
  <c r="G18" s="1"/>
  <c r="C16" i="3"/>
  <c r="B16"/>
  <c r="E8"/>
  <c r="F8"/>
  <c r="G8"/>
  <c r="E7"/>
  <c r="F7"/>
  <c r="G7"/>
  <c r="C12"/>
  <c r="B12"/>
  <c r="C8"/>
  <c r="C7"/>
  <c r="B8"/>
  <c r="B7"/>
  <c r="H4" i="4"/>
  <c r="H5"/>
  <c r="H6"/>
  <c r="H7"/>
  <c r="H3"/>
  <c r="E7"/>
  <c r="E6"/>
  <c r="E5"/>
  <c r="E4"/>
  <c r="E3"/>
  <c r="H20" i="2"/>
  <c r="H21"/>
  <c r="H22"/>
  <c r="H23"/>
  <c r="H24"/>
  <c r="G20"/>
  <c r="G21"/>
  <c r="G22"/>
  <c r="G23"/>
  <c r="G24"/>
  <c r="F19"/>
  <c r="F20"/>
  <c r="F21"/>
  <c r="F22"/>
  <c r="F23"/>
  <c r="F24"/>
  <c r="H14"/>
  <c r="H15"/>
  <c r="H16"/>
  <c r="H17"/>
  <c r="H18"/>
  <c r="G14"/>
  <c r="G15"/>
  <c r="G16"/>
  <c r="G17"/>
  <c r="G18"/>
  <c r="F15"/>
  <c r="F16"/>
  <c r="F17"/>
  <c r="F18"/>
  <c r="F14"/>
  <c r="H9"/>
  <c r="H10"/>
  <c r="H11"/>
  <c r="H12"/>
  <c r="G9"/>
  <c r="G10"/>
  <c r="G11"/>
  <c r="G12"/>
  <c r="F9"/>
  <c r="F10"/>
  <c r="F11"/>
  <c r="F12"/>
  <c r="H3"/>
  <c r="H4"/>
  <c r="H5"/>
  <c r="H6"/>
  <c r="H7"/>
  <c r="H2"/>
  <c r="G3"/>
  <c r="G4"/>
  <c r="G5"/>
  <c r="G6"/>
  <c r="G7"/>
  <c r="G2"/>
  <c r="F3"/>
  <c r="F4"/>
  <c r="F5"/>
  <c r="F6"/>
  <c r="F7"/>
  <c r="F2"/>
  <c r="H4" i="1"/>
  <c r="H5"/>
  <c r="H6"/>
  <c r="H7"/>
  <c r="H8"/>
  <c r="H9"/>
  <c r="H10"/>
  <c r="H11"/>
  <c r="H12"/>
  <c r="H3"/>
  <c r="F4"/>
  <c r="F5"/>
  <c r="F6"/>
  <c r="F7"/>
  <c r="F8"/>
  <c r="F9"/>
  <c r="F10"/>
  <c r="F11"/>
  <c r="F12"/>
  <c r="F3"/>
  <c r="E4"/>
  <c r="E5"/>
  <c r="E6"/>
  <c r="E7"/>
  <c r="E8"/>
  <c r="E9"/>
  <c r="E10"/>
  <c r="E11"/>
  <c r="E12"/>
  <c r="E3"/>
  <c r="H13" l="1"/>
  <c r="H8" i="4"/>
</calcChain>
</file>

<file path=xl/comments1.xml><?xml version="1.0" encoding="utf-8"?>
<comments xmlns="http://schemas.openxmlformats.org/spreadsheetml/2006/main">
  <authors>
    <author>siva</author>
  </authors>
  <commentList>
    <comment ref="K23" authorId="0">
      <text>
        <r>
          <rPr>
            <b/>
            <sz val="10"/>
            <color indexed="81"/>
            <rFont val="Tahoma"/>
            <family val="2"/>
          </rPr>
          <t>ISRM (old):</t>
        </r>
        <r>
          <rPr>
            <sz val="10"/>
            <color indexed="81"/>
            <rFont val="Tahoma"/>
            <family val="2"/>
          </rPr>
          <t xml:space="preserve">
Average of top 50%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 xml:space="preserve">ASTM: </t>
        </r>
        <r>
          <rPr>
            <sz val="10"/>
            <color indexed="81"/>
            <rFont val="Tahoma"/>
            <family val="2"/>
          </rPr>
          <t>Average of values within ± 7.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<sst xmlns="http://schemas.openxmlformats.org/spreadsheetml/2006/main" count="250" uniqueCount="175">
  <si>
    <t>Sample  No.</t>
  </si>
  <si>
    <t>Mass (g)</t>
  </si>
  <si>
    <t>BH2_41.2m</t>
  </si>
  <si>
    <t>BH2_41.5m</t>
  </si>
  <si>
    <t>BH2_41.9m</t>
  </si>
  <si>
    <t>BH2_42.1m</t>
  </si>
  <si>
    <t>BH2_42.4m</t>
  </si>
  <si>
    <t>BH2_42.7m</t>
  </si>
  <si>
    <t>BH3_40.8m</t>
  </si>
  <si>
    <t>BH3_41.2m</t>
  </si>
  <si>
    <t>BH3_41.6m</t>
  </si>
  <si>
    <t>BH3_41.9m</t>
  </si>
  <si>
    <r>
      <rPr>
        <i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(mm)</t>
    </r>
  </si>
  <si>
    <r>
      <rPr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(mm)</t>
    </r>
  </si>
  <si>
    <r>
      <t>Volume (cm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) </t>
    </r>
  </si>
  <si>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(kN)</t>
    </r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</si>
  <si>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Calibri"/>
        <family val="2"/>
        <scheme val="minor"/>
      </rPr>
      <t>t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(MPa)</t>
    </r>
  </si>
  <si>
    <r>
      <t xml:space="preserve">Average </t>
    </r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(MPa)</t>
    </r>
  </si>
  <si>
    <t xml:space="preserve">No. </t>
  </si>
  <si>
    <t>Type</t>
  </si>
  <si>
    <r>
      <rPr>
        <i/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 xml:space="preserve"> (mm)</t>
    </r>
  </si>
  <si>
    <r>
      <rPr>
        <i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(mm)</t>
    </r>
  </si>
  <si>
    <r>
      <rPr>
        <i/>
        <sz val="12"/>
        <color theme="1"/>
        <rFont val="Calibri"/>
        <family val="2"/>
        <scheme val="minor"/>
      </rPr>
      <t>D</t>
    </r>
    <r>
      <rPr>
        <i/>
        <vertAlign val="sub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(mm)</t>
    </r>
  </si>
  <si>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(MPa)</t>
    </r>
  </si>
  <si>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color theme="1"/>
        <rFont val="Calibri"/>
        <family val="2"/>
        <scheme val="minor"/>
      </rPr>
      <t>s(50)</t>
    </r>
    <r>
      <rPr>
        <sz val="12"/>
        <color theme="1"/>
        <rFont val="Calibri"/>
        <family val="2"/>
        <scheme val="minor"/>
      </rPr>
      <t>(MPa)</t>
    </r>
  </si>
  <si>
    <r>
      <t xml:space="preserve">i </t>
    </r>
    <r>
      <rPr>
        <sz val="12"/>
        <color theme="1"/>
        <rFont val="Symbol"/>
        <family val="1"/>
        <charset val="2"/>
      </rPr>
      <t>^</t>
    </r>
  </si>
  <si>
    <r>
      <t xml:space="preserve">b </t>
    </r>
    <r>
      <rPr>
        <sz val="12"/>
        <color theme="1"/>
        <rFont val="Symbol"/>
        <family val="1"/>
        <charset val="2"/>
      </rPr>
      <t>^</t>
    </r>
  </si>
  <si>
    <r>
      <t xml:space="preserve">d </t>
    </r>
    <r>
      <rPr>
        <sz val="12"/>
        <color theme="1"/>
        <rFont val="Symbol"/>
        <family val="1"/>
        <charset val="2"/>
      </rPr>
      <t>¤¤</t>
    </r>
  </si>
  <si>
    <t>–</t>
  </si>
  <si>
    <t xml:space="preserve">a = </t>
  </si>
  <si>
    <t xml:space="preserve">b = </t>
  </si>
  <si>
    <t>d =</t>
  </si>
  <si>
    <t>i =</t>
  </si>
  <si>
    <r>
      <rPr>
        <sz val="12"/>
        <color theme="1"/>
        <rFont val="Symbol"/>
        <family val="1"/>
        <charset val="2"/>
      </rPr>
      <t>^</t>
    </r>
    <r>
      <rPr>
        <sz val="12"/>
        <color theme="1"/>
        <rFont val="Calibri"/>
        <family val="2"/>
      </rPr>
      <t xml:space="preserve"> =</t>
    </r>
  </si>
  <si>
    <r>
      <rPr>
        <sz val="12"/>
        <color theme="1"/>
        <rFont val="Symbol"/>
        <family val="1"/>
        <charset val="2"/>
      </rPr>
      <t>¤¤</t>
    </r>
    <r>
      <rPr>
        <sz val="12"/>
        <color theme="1"/>
        <rFont val="Calibri"/>
        <family val="2"/>
      </rPr>
      <t xml:space="preserve"> =</t>
    </r>
  </si>
  <si>
    <t>axial</t>
  </si>
  <si>
    <t>block</t>
  </si>
  <si>
    <t>diametral</t>
  </si>
  <si>
    <t>irregular lump</t>
  </si>
  <si>
    <t>loaded perpendicular to plane of weakness</t>
  </si>
  <si>
    <t>loaded paralle to plane of weakness</t>
  </si>
  <si>
    <r>
      <t>I</t>
    </r>
    <r>
      <rPr>
        <i/>
        <vertAlign val="subscript"/>
        <sz val="12"/>
        <color theme="1"/>
        <rFont val="Calibri"/>
        <family val="2"/>
        <scheme val="minor"/>
      </rPr>
      <t>a(50)</t>
    </r>
  </si>
  <si>
    <r>
      <t xml:space="preserve">Mean </t>
    </r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color theme="1"/>
        <rFont val="Calibri"/>
        <family val="2"/>
        <scheme val="minor"/>
      </rPr>
      <t>s(50)</t>
    </r>
    <r>
      <rPr>
        <sz val="12"/>
        <color theme="1"/>
        <rFont val="Calibri"/>
        <family val="2"/>
        <scheme val="minor"/>
      </rPr>
      <t xml:space="preserve"> </t>
    </r>
    <r>
      <rPr>
        <vertAlign val="subscript"/>
        <sz val="12"/>
        <color theme="1"/>
        <rFont val="Symbol"/>
        <family val="1"/>
        <charset val="2"/>
      </rPr>
      <t>¤¤</t>
    </r>
  </si>
  <si>
    <r>
      <t xml:space="preserve">Mean </t>
    </r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color theme="1"/>
        <rFont val="Calibri"/>
        <family val="2"/>
        <scheme val="minor"/>
      </rPr>
      <t>s(50)</t>
    </r>
    <r>
      <rPr>
        <sz val="12"/>
        <color theme="1"/>
        <rFont val="Calibri"/>
        <family val="2"/>
        <scheme val="minor"/>
      </rPr>
      <t xml:space="preserve"> </t>
    </r>
    <r>
      <rPr>
        <vertAlign val="subscript"/>
        <sz val="12"/>
        <color theme="1"/>
        <rFont val="Symbol"/>
        <family val="1"/>
        <charset val="2"/>
      </rPr>
      <t>^</t>
    </r>
    <r>
      <rPr>
        <sz val="12"/>
        <color theme="1"/>
        <rFont val="Symbol"/>
        <family val="1"/>
        <charset val="2"/>
      </rPr>
      <t xml:space="preserve"> </t>
    </r>
  </si>
  <si>
    <t>3.38 MPa</t>
  </si>
  <si>
    <t>1.98 MPa</t>
  </si>
  <si>
    <t>BH7_20.8m</t>
  </si>
  <si>
    <t>BH7_21.4m</t>
  </si>
  <si>
    <t>BH7_22.0m</t>
  </si>
  <si>
    <t>BH7_22.5m</t>
  </si>
  <si>
    <t>BH7_23.0m</t>
  </si>
  <si>
    <r>
      <t xml:space="preserve">Average </t>
    </r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(MPa)</t>
    </r>
  </si>
  <si>
    <r>
      <rPr>
        <i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(mm)</t>
    </r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</si>
  <si>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Calibri"/>
        <family val="2"/>
        <scheme val="minor"/>
      </rPr>
      <t>c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(MPa)</t>
    </r>
  </si>
  <si>
    <r>
      <t>Mass of drum + dry sample (</t>
    </r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), g</t>
    </r>
  </si>
  <si>
    <r>
      <t>Mass of drum + dry sample after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cycle (</t>
    </r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), g</t>
    </r>
  </si>
  <si>
    <r>
      <t>Mass of drum + dry sample after 2</t>
    </r>
    <r>
      <rPr>
        <vertAlign val="superscript"/>
        <sz val="12"/>
        <color theme="1"/>
        <rFont val="Calibri"/>
        <family val="2"/>
        <scheme val="minor"/>
      </rPr>
      <t>nd</t>
    </r>
    <r>
      <rPr>
        <sz val="12"/>
        <color theme="1"/>
        <rFont val="Calibri"/>
        <family val="2"/>
        <scheme val="minor"/>
      </rPr>
      <t xml:space="preserve"> cycle (</t>
    </r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), g</t>
    </r>
  </si>
  <si>
    <r>
      <t>Mass of drum (</t>
    </r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), g</t>
    </r>
  </si>
  <si>
    <r>
      <t>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Cycle Slake Durability Index, </t>
    </r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rFont val="Arial"/>
        <family val="2"/>
      </rPr>
      <t>d1</t>
    </r>
  </si>
  <si>
    <r>
      <t>2</t>
    </r>
    <r>
      <rPr>
        <b/>
        <vertAlign val="superscript"/>
        <sz val="12"/>
        <color theme="1"/>
        <rFont val="Calibri"/>
        <family val="2"/>
        <scheme val="minor"/>
      </rPr>
      <t>nd</t>
    </r>
    <r>
      <rPr>
        <b/>
        <sz val="12"/>
        <color theme="1"/>
        <rFont val="Calibri"/>
        <family val="2"/>
        <scheme val="minor"/>
      </rPr>
      <t xml:space="preserve"> Cycle Slake Durability Index ,</t>
    </r>
    <r>
      <rPr>
        <b/>
        <i/>
        <sz val="12"/>
        <color theme="1"/>
        <rFont val="Calibri"/>
        <family val="2"/>
        <scheme val="minor"/>
      </rPr>
      <t xml:space="preserve"> I</t>
    </r>
    <r>
      <rPr>
        <b/>
        <i/>
        <vertAlign val="subscript"/>
        <sz val="12"/>
        <rFont val="Arial"/>
        <family val="2"/>
      </rPr>
      <t>d2</t>
    </r>
    <r>
      <rPr>
        <sz val="10"/>
        <rFont val="Arial"/>
      </rPr>
      <t/>
    </r>
  </si>
  <si>
    <r>
      <t>Mass of drum + dry sample after 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cycle, g (Only if required)</t>
    </r>
  </si>
  <si>
    <t>Sample No.</t>
  </si>
  <si>
    <t>Duration of third cycle (if not 10 minutes)</t>
  </si>
  <si>
    <r>
      <t>3</t>
    </r>
    <r>
      <rPr>
        <vertAlign val="superscript"/>
        <sz val="12"/>
        <color theme="1"/>
        <rFont val="Calibri"/>
        <family val="2"/>
        <scheme val="minor"/>
      </rPr>
      <t>rd</t>
    </r>
    <r>
      <rPr>
        <sz val="12"/>
        <color theme="1"/>
        <rFont val="Calibri"/>
        <family val="2"/>
        <scheme val="minor"/>
      </rPr>
      <t xml:space="preserve"> Cycle Slake Durability Index, </t>
    </r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rFont val="Arial"/>
        <family val="2"/>
      </rPr>
      <t>d3</t>
    </r>
  </si>
  <si>
    <t>30 min</t>
  </si>
  <si>
    <t>Slaking fluid</t>
  </si>
  <si>
    <t>Sea water</t>
  </si>
  <si>
    <t>Temperature of slaking fluid</t>
  </si>
  <si>
    <r>
      <t>Mass of drum + dry sample after 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cycle, g (Only if required)</t>
    </r>
  </si>
  <si>
    <t>Duration of fourth cycle (if not 10 minutes)</t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</si>
  <si>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Cycle Slake Durability Index, </t>
    </r>
    <r>
      <rPr>
        <i/>
        <sz val="12"/>
        <color theme="1"/>
        <rFont val="Calibri"/>
        <family val="2"/>
        <scheme val="minor"/>
      </rPr>
      <t>I</t>
    </r>
    <r>
      <rPr>
        <i/>
        <vertAlign val="subscript"/>
        <sz val="12"/>
        <rFont val="Arial"/>
        <family val="2"/>
      </rPr>
      <t>d4</t>
    </r>
  </si>
  <si>
    <t>Tap water</t>
  </si>
  <si>
    <t>Claystone1</t>
  </si>
  <si>
    <t>Claystone3</t>
  </si>
  <si>
    <t>Claystone8</t>
  </si>
  <si>
    <t>Porcellanite2</t>
  </si>
  <si>
    <t>Porcellanite7</t>
  </si>
  <si>
    <t>Diameter</t>
  </si>
  <si>
    <t>Length</t>
  </si>
  <si>
    <t>(mm)</t>
  </si>
  <si>
    <t>Cell Pressure</t>
  </si>
  <si>
    <t>(MPa)</t>
  </si>
  <si>
    <t>Additional Vertical Stress</t>
  </si>
  <si>
    <t xml:space="preserve">Sample </t>
  </si>
  <si>
    <t>No.</t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</si>
  <si>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Calibri"/>
        <family val="2"/>
        <scheme val="minor"/>
      </rPr>
      <t>3</t>
    </r>
  </si>
  <si>
    <r>
      <rPr>
        <i/>
        <sz val="12"/>
        <color theme="1"/>
        <rFont val="Symbol"/>
        <family val="1"/>
        <charset val="2"/>
      </rPr>
      <t>s</t>
    </r>
    <r>
      <rPr>
        <i/>
        <vertAlign val="subscript"/>
        <sz val="12"/>
        <color theme="1"/>
        <rFont val="Calibri"/>
        <family val="2"/>
        <scheme val="minor"/>
      </rPr>
      <t>1</t>
    </r>
  </si>
  <si>
    <t>JH_23</t>
  </si>
  <si>
    <t>Mass</t>
  </si>
  <si>
    <t>(g)</t>
  </si>
  <si>
    <t>JH_32</t>
  </si>
  <si>
    <t>JH_41</t>
  </si>
  <si>
    <t>at failure (MPa)</t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</si>
  <si>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(g)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</si>
  <si>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(g)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</si>
  <si>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(g)</t>
    </r>
  </si>
  <si>
    <t>Comments</t>
  </si>
  <si>
    <r>
      <rPr>
        <i/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 xml:space="preserve"> (%)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</si>
  <si>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= Mass of container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</si>
  <si>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= Mass of container + sample 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</si>
  <si>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= Mass of container + dry sample</t>
    </r>
  </si>
  <si>
    <t>JR019</t>
  </si>
  <si>
    <t>JR012</t>
  </si>
  <si>
    <t>JR032</t>
  </si>
  <si>
    <t>24 hrs in oven</t>
  </si>
  <si>
    <t>28 hours in oven</t>
  </si>
  <si>
    <t>Specimen</t>
  </si>
  <si>
    <t>Volume</t>
  </si>
  <si>
    <t>Dry mass</t>
  </si>
  <si>
    <r>
      <rPr>
        <i/>
        <sz val="12"/>
        <color theme="1"/>
        <rFont val="Calibri"/>
        <family val="2"/>
        <scheme val="minor"/>
      </rPr>
      <t>V</t>
    </r>
    <r>
      <rPr>
        <i/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(cm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</si>
  <si>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(g)</t>
    </r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</si>
  <si>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t</t>
    </r>
    <r>
      <rPr>
        <vertAlign val="subscript"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(g)</t>
    </r>
  </si>
  <si>
    <r>
      <rPr>
        <i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(mm)</t>
    </r>
  </si>
  <si>
    <t>Sat. mass</t>
  </si>
  <si>
    <t>Void vol.</t>
  </si>
  <si>
    <r>
      <rPr>
        <i/>
        <sz val="12"/>
        <color theme="1"/>
        <rFont val="Calibri"/>
        <family val="2"/>
        <scheme val="minor"/>
      </rPr>
      <t>V</t>
    </r>
    <r>
      <rPr>
        <i/>
        <vertAlign val="subscript"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(cm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</si>
  <si>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t>Porosity</t>
  </si>
  <si>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(%)</t>
    </r>
  </si>
  <si>
    <t>BH5-22m1</t>
  </si>
  <si>
    <t>BH5-22m2</t>
  </si>
  <si>
    <t>BH5-22m3</t>
  </si>
  <si>
    <t>Average</t>
  </si>
  <si>
    <t>Irregular rock fragments</t>
  </si>
  <si>
    <t>Regular cylindrical specimens</t>
  </si>
  <si>
    <t>Submerged</t>
  </si>
  <si>
    <t>Saturated</t>
  </si>
  <si>
    <t>Dry</t>
  </si>
  <si>
    <t>Sample mass</t>
  </si>
  <si>
    <r>
      <rPr>
        <i/>
        <sz val="12"/>
        <color theme="1"/>
        <rFont val="Calibri"/>
        <family val="2"/>
        <scheme val="minor"/>
      </rPr>
      <t>m</t>
    </r>
    <r>
      <rPr>
        <i/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(g)</t>
    </r>
  </si>
  <si>
    <r>
      <rPr>
        <i/>
        <sz val="12"/>
        <color theme="1"/>
        <rFont val="Calibri"/>
        <family val="2"/>
        <scheme val="minor"/>
      </rPr>
      <t>m</t>
    </r>
    <r>
      <rPr>
        <vertAlign val="superscript"/>
        <sz val="12"/>
        <color theme="1"/>
        <rFont val="Symbol"/>
        <family val="1"/>
        <charset val="2"/>
      </rPr>
      <t>¢</t>
    </r>
    <r>
      <rPr>
        <vertAlign val="superscript"/>
        <sz val="12"/>
        <color theme="1"/>
        <rFont val="Cambria"/>
        <family val="1"/>
      </rPr>
      <t xml:space="preserve"> </t>
    </r>
    <r>
      <rPr>
        <sz val="12"/>
        <color theme="1"/>
        <rFont val="Calibri"/>
        <family val="2"/>
      </rPr>
      <t>(g)</t>
    </r>
  </si>
  <si>
    <t>S21</t>
  </si>
  <si>
    <t>S26</t>
  </si>
  <si>
    <t>Total vol.</t>
  </si>
  <si>
    <r>
      <rPr>
        <u/>
        <sz val="12"/>
        <color theme="1"/>
        <rFont val="Calibri"/>
        <family val="2"/>
        <scheme val="minor"/>
      </rPr>
      <t>Calibration</t>
    </r>
    <r>
      <rPr>
        <sz val="12"/>
        <color theme="1"/>
        <rFont val="Calibri"/>
        <family val="2"/>
        <scheme val="minor"/>
      </rPr>
      <t>:</t>
    </r>
  </si>
  <si>
    <t>Test anvil readings:</t>
  </si>
  <si>
    <t>Reading 1</t>
  </si>
  <si>
    <t>Reading 2</t>
  </si>
  <si>
    <t>Reading 3</t>
  </si>
  <si>
    <t>Reading 4</t>
  </si>
  <si>
    <t>Reading 5</t>
  </si>
  <si>
    <t>Reading 6</t>
  </si>
  <si>
    <t>Reading 7</t>
  </si>
  <si>
    <t>Reading 8</t>
  </si>
  <si>
    <t>Reading 9</t>
  </si>
  <si>
    <t>Reading 10</t>
  </si>
  <si>
    <t xml:space="preserve">CF </t>
  </si>
  <si>
    <t xml:space="preserve">Specified standard value of the anvil </t>
  </si>
  <si>
    <t>Reading 11</t>
  </si>
  <si>
    <t>Reading 12</t>
  </si>
  <si>
    <t>Reading 13</t>
  </si>
  <si>
    <t>Reading 14</t>
  </si>
  <si>
    <t>Reading 15</t>
  </si>
  <si>
    <t>Reading 16</t>
  </si>
  <si>
    <t>Reading 17</t>
  </si>
  <si>
    <t>Reading 18</t>
  </si>
  <si>
    <t>Reading 19</t>
  </si>
  <si>
    <t>Reading 20</t>
  </si>
  <si>
    <t>BH1_26.0m</t>
  </si>
  <si>
    <t>Measured</t>
  </si>
  <si>
    <t>Corrected</t>
  </si>
  <si>
    <t>Sorted</t>
  </si>
  <si>
    <t>Bin</t>
  </si>
  <si>
    <t>More</t>
  </si>
  <si>
    <t>Frequency</t>
  </si>
  <si>
    <t>Bin range</t>
  </si>
  <si>
    <t>Median</t>
  </si>
  <si>
    <t>Mode</t>
  </si>
  <si>
    <t>Mean</t>
  </si>
  <si>
    <t>Dry unit wt</t>
  </si>
  <si>
    <r>
      <t>Unit wt (kN/m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</si>
  <si>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t>Unit wt</t>
  </si>
  <si>
    <r>
      <t>(kN/m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</si>
  <si>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rPr>
        <i/>
        <sz val="12"/>
        <color theme="1"/>
        <rFont val="Symbol"/>
        <family val="1"/>
        <charset val="2"/>
      </rPr>
      <t>g</t>
    </r>
    <r>
      <rPr>
        <i/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 xml:space="preserve"> (kN/m</t>
    </r>
    <r>
      <rPr>
        <vertAlign val="super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>)</t>
    </r>
  </si>
  <si>
    <t>26°C</t>
  </si>
  <si>
    <t>27°C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</si>
</sst>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Symbol"/>
      <family val="1"/>
      <charset val="2"/>
    </font>
    <font>
      <i/>
      <vertAlign val="sub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</font>
    <font>
      <vertAlign val="subscript"/>
      <sz val="12"/>
      <color theme="1"/>
      <name val="Symbol"/>
      <family val="1"/>
      <charset val="2"/>
    </font>
    <font>
      <sz val="10"/>
      <name val="Arial"/>
    </font>
    <font>
      <i/>
      <vertAlign val="subscript"/>
      <sz val="12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name val="Arial"/>
      <family val="2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</font>
    <font>
      <i/>
      <vertAlign val="subscript"/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vertAlign val="superscript"/>
      <sz val="12"/>
      <color theme="1"/>
      <name val="Cambria"/>
      <family val="1"/>
    </font>
    <font>
      <vertAlign val="superscript"/>
      <sz val="12"/>
      <color theme="1"/>
      <name val="Symbol"/>
      <family val="1"/>
      <charset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color theme="1"/>
      <name val="Comic Sans MS"/>
      <family val="4"/>
    </font>
    <font>
      <strike/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1" fillId="0" borderId="0" xfId="0" applyFont="1" applyBorder="1"/>
    <xf numFmtId="0" fontId="1" fillId="0" borderId="2" xfId="0" applyFont="1" applyBorder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7" fillId="0" borderId="1" xfId="0" applyFont="1" applyBorder="1"/>
    <xf numFmtId="0" fontId="18" fillId="0" borderId="0" xfId="0" applyFont="1"/>
    <xf numFmtId="0" fontId="1" fillId="2" borderId="0" xfId="0" applyFont="1" applyFill="1"/>
    <xf numFmtId="2" fontId="1" fillId="2" borderId="0" xfId="0" applyNumberFormat="1" applyFont="1" applyFill="1"/>
    <xf numFmtId="0" fontId="0" fillId="0" borderId="0" xfId="0" applyFill="1" applyBorder="1" applyAlignment="1"/>
    <xf numFmtId="0" fontId="0" fillId="0" borderId="4" xfId="0" applyFill="1" applyBorder="1" applyAlignment="1"/>
    <xf numFmtId="0" fontId="23" fillId="0" borderId="5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2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/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4" fontId="25" fillId="0" borderId="2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0" fillId="0" borderId="3" xfId="0" applyBorder="1"/>
    <xf numFmtId="2" fontId="25" fillId="3" borderId="0" xfId="0" applyNumberFormat="1" applyFont="1" applyFill="1" applyBorder="1" applyAlignment="1">
      <alignment horizontal="center"/>
    </xf>
    <xf numFmtId="2" fontId="25" fillId="0" borderId="0" xfId="0" applyNumberFormat="1" applyFont="1"/>
    <xf numFmtId="2" fontId="27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" xfId="0" applyFont="1" applyBorder="1"/>
    <xf numFmtId="164" fontId="2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32981930977601"/>
          <c:y val="6.280677878228183E-2"/>
          <c:w val="0.83541511030129501"/>
          <c:h val="0.74875966430122165"/>
        </c:manualLayout>
      </c:layout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Schmidt!$N$3:$N$20</c:f>
              <c:strCache>
                <c:ptCount val="18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More</c:v>
                </c:pt>
              </c:strCache>
            </c:strRef>
          </c:cat>
          <c:val>
            <c:numRef>
              <c:f>Schmidt!$O$3:$O$20</c:f>
              <c:numCache>
                <c:formatCode>General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axId val="77004160"/>
        <c:axId val="77543296"/>
      </c:barChart>
      <c:catAx>
        <c:axId val="7700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Rebound hardness, </a:t>
                </a:r>
                <a:r>
                  <a:rPr lang="en-US" sz="1200" i="1"/>
                  <a:t>R</a:t>
                </a:r>
                <a:r>
                  <a:rPr lang="en-US" sz="1200"/>
                  <a:t> </a:t>
                </a:r>
              </a:p>
            </c:rich>
          </c:tx>
          <c:layout>
            <c:manualLayout>
              <c:xMode val="edge"/>
              <c:yMode val="edge"/>
              <c:x val="0.41242576082948457"/>
              <c:y val="0.91555555555555568"/>
            </c:manualLayout>
          </c:layout>
        </c:title>
        <c:numFmt formatCode="#,##0;\-#,##0" sourceLinked="0"/>
        <c:tickLblPos val="nextTo"/>
        <c:crossAx val="77543296"/>
        <c:crosses val="autoZero"/>
        <c:auto val="1"/>
        <c:lblAlgn val="ctr"/>
        <c:lblOffset val="100"/>
        <c:tickLblSkip val="1"/>
      </c:catAx>
      <c:valAx>
        <c:axId val="77543296"/>
        <c:scaling>
          <c:orientation val="minMax"/>
          <c:max val="4"/>
        </c:scaling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004160"/>
        <c:crosses val="autoZero"/>
        <c:crossBetween val="between"/>
        <c:majorUnit val="1"/>
      </c:valAx>
    </c:plotArea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666749</xdr:colOff>
      <xdr:row>0</xdr:row>
      <xdr:rowOff>209549</xdr:rowOff>
    </xdr:from>
    <xdr:to>
      <xdr:col>25</xdr:col>
      <xdr:colOff>276224</xdr:colOff>
      <xdr:row>20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0.16529</cdr:x>
      <cdr:y>0.16049</cdr:y>
    </cdr:from>
    <cdr:to>
      <cdr:x>0.44463</cdr:x>
      <cdr:y>0.37284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1" y="619126"/>
          <a:ext cx="160972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Mean = 58.9</a:t>
          </a:r>
          <a:br>
            <a:rPr lang="en-US" sz="1100"/>
          </a:br>
          <a:r>
            <a:rPr lang="en-US" sz="1100"/>
            <a:t>Median = 58.9</a:t>
          </a:r>
          <a:br>
            <a:rPr lang="en-US" sz="1100"/>
          </a:br>
          <a:r>
            <a:rPr lang="en-US" sz="1100"/>
            <a:t>Mode = 60</a:t>
          </a:r>
          <a:br>
            <a:rPr lang="en-US" sz="1100"/>
          </a:br>
          <a:r>
            <a:rPr lang="en-US" sz="1100"/>
            <a:t>Range</a:t>
          </a:r>
          <a:r>
            <a:rPr lang="en-US" sz="1100" baseline="0"/>
            <a:t> = 51.7-66.4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>
      <selection activeCell="J14" sqref="J14"/>
    </sheetView>
  </sheetViews>
  <sheetFormatPr defaultRowHeight="15"/>
  <cols>
    <col min="1" max="1" width="13" customWidth="1"/>
    <col min="2" max="2" width="8" bestFit="1" customWidth="1"/>
    <col min="3" max="3" width="7.5703125" bestFit="1" customWidth="1"/>
    <col min="5" max="5" width="13.7109375" bestFit="1" customWidth="1"/>
    <col min="6" max="6" width="15.7109375" bestFit="1" customWidth="1"/>
    <col min="7" max="7" width="7" bestFit="1" customWidth="1"/>
    <col min="8" max="8" width="10.42578125" bestFit="1" customWidth="1"/>
  </cols>
  <sheetData>
    <row r="1" spans="1:11" ht="11.25" customHeight="1"/>
    <row r="2" spans="1:11" ht="23.25" customHeight="1">
      <c r="A2" s="6" t="s">
        <v>0</v>
      </c>
      <c r="B2" s="6" t="s">
        <v>12</v>
      </c>
      <c r="C2" s="6" t="s">
        <v>52</v>
      </c>
      <c r="D2" s="6" t="s">
        <v>1</v>
      </c>
      <c r="E2" s="6" t="s">
        <v>14</v>
      </c>
      <c r="F2" s="38" t="s">
        <v>169</v>
      </c>
      <c r="G2" s="6" t="s">
        <v>15</v>
      </c>
      <c r="H2" s="6" t="s">
        <v>53</v>
      </c>
    </row>
    <row r="3" spans="1:11" ht="19.5">
      <c r="A3" s="39" t="s">
        <v>46</v>
      </c>
      <c r="B3" s="39">
        <v>53.8</v>
      </c>
      <c r="C3" s="39">
        <v>140.19999999999999</v>
      </c>
      <c r="D3" s="39">
        <v>908.3</v>
      </c>
      <c r="E3" s="44">
        <f>PI()*B3*B3*C3/4000</f>
        <v>318.71495798098812</v>
      </c>
      <c r="F3" s="40">
        <f>(D3/E3)*9.81</f>
        <v>27.957341746512949</v>
      </c>
      <c r="G3" s="39">
        <v>320.2</v>
      </c>
      <c r="H3" s="40">
        <f>4*G3*1000/(PI()*B3*B3)</f>
        <v>140.85325735693232</v>
      </c>
      <c r="I3" s="1"/>
      <c r="J3" s="2"/>
      <c r="K3" s="2"/>
    </row>
    <row r="4" spans="1:11" ht="19.5">
      <c r="A4" s="39" t="s">
        <v>47</v>
      </c>
      <c r="B4" s="39">
        <v>53.8</v>
      </c>
      <c r="C4" s="39">
        <v>142.1</v>
      </c>
      <c r="D4" s="39">
        <v>921.2</v>
      </c>
      <c r="E4" s="44">
        <f t="shared" ref="E4:E7" si="0">PI()*B4*B4*C4/4000</f>
        <v>323.03420491510997</v>
      </c>
      <c r="F4" s="40">
        <f t="shared" ref="F4:F7" si="1">(D4/E4)*9.81</f>
        <v>27.975278972004912</v>
      </c>
      <c r="G4" s="39">
        <v>310.5</v>
      </c>
      <c r="H4" s="40">
        <f t="shared" ref="H4:H7" si="2">4*G4*1000/(PI()*B4*B4)</f>
        <v>136.5863098355012</v>
      </c>
      <c r="I4" s="1"/>
      <c r="J4" s="2"/>
      <c r="K4" s="2"/>
    </row>
    <row r="5" spans="1:11" ht="19.5">
      <c r="A5" s="39" t="s">
        <v>48</v>
      </c>
      <c r="B5" s="39">
        <v>53.9</v>
      </c>
      <c r="C5" s="39">
        <v>141.5</v>
      </c>
      <c r="D5" s="39">
        <v>922.3</v>
      </c>
      <c r="E5" s="44">
        <f t="shared" si="0"/>
        <v>322.86714365717199</v>
      </c>
      <c r="F5" s="40">
        <f t="shared" si="1"/>
        <v>28.023176646327101</v>
      </c>
      <c r="G5" s="39">
        <v>332.6</v>
      </c>
      <c r="H5" s="40">
        <f t="shared" si="2"/>
        <v>145.76552902506708</v>
      </c>
      <c r="I5" s="1"/>
      <c r="J5" s="2"/>
      <c r="K5" s="2"/>
    </row>
    <row r="6" spans="1:11" ht="19.5">
      <c r="A6" s="39" t="s">
        <v>49</v>
      </c>
      <c r="B6" s="39">
        <v>53.9</v>
      </c>
      <c r="C6" s="39">
        <v>144.19999999999999</v>
      </c>
      <c r="D6" s="39">
        <v>937.1</v>
      </c>
      <c r="E6" s="44">
        <f t="shared" si="0"/>
        <v>329.02785947253847</v>
      </c>
      <c r="F6" s="40">
        <f t="shared" si="1"/>
        <v>27.939734388258596</v>
      </c>
      <c r="G6" s="39">
        <v>340.4</v>
      </c>
      <c r="H6" s="40">
        <f t="shared" si="2"/>
        <v>149.1839629589081</v>
      </c>
      <c r="I6" s="1"/>
      <c r="J6" s="2"/>
      <c r="K6" s="2"/>
    </row>
    <row r="7" spans="1:11" ht="19.5">
      <c r="A7" s="43" t="s">
        <v>50</v>
      </c>
      <c r="B7" s="43">
        <v>53.8</v>
      </c>
      <c r="C7" s="43">
        <v>139.5</v>
      </c>
      <c r="D7" s="43">
        <v>905.9</v>
      </c>
      <c r="E7" s="46">
        <f t="shared" si="0"/>
        <v>317.1236564789433</v>
      </c>
      <c r="F7" s="42">
        <f t="shared" si="1"/>
        <v>28.023387150211171</v>
      </c>
      <c r="G7" s="43">
        <v>321.60000000000002</v>
      </c>
      <c r="H7" s="42">
        <f t="shared" si="2"/>
        <v>141.46910545280898</v>
      </c>
      <c r="I7" s="1"/>
      <c r="J7" s="2"/>
      <c r="K7" s="2"/>
    </row>
    <row r="8" spans="1:11" ht="19.5">
      <c r="A8" s="16"/>
      <c r="B8" s="16"/>
      <c r="C8" s="16"/>
      <c r="D8" s="16"/>
      <c r="E8" s="16"/>
      <c r="F8" s="69" t="s">
        <v>51</v>
      </c>
      <c r="G8" s="69"/>
      <c r="H8" s="45">
        <f>AVERAGE(H3:H7)</f>
        <v>142.77163292584353</v>
      </c>
      <c r="I8" s="1"/>
      <c r="J8" s="2"/>
      <c r="K8" s="2"/>
    </row>
    <row r="9" spans="1:11">
      <c r="I9" s="1"/>
      <c r="J9" s="2"/>
      <c r="K9" s="2"/>
    </row>
    <row r="10" spans="1:11">
      <c r="I10" s="1"/>
      <c r="J10" s="2"/>
      <c r="K10" s="2"/>
    </row>
    <row r="11" spans="1:11">
      <c r="I11" s="1"/>
      <c r="J11" s="2"/>
      <c r="K11" s="2"/>
    </row>
    <row r="12" spans="1:11">
      <c r="I12" s="1"/>
      <c r="J12" s="2"/>
      <c r="K12" s="2"/>
    </row>
  </sheetData>
  <mergeCells count="1">
    <mergeCell ref="F8:G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>
      <selection activeCell="O7" sqref="O7"/>
    </sheetView>
  </sheetViews>
  <sheetFormatPr defaultRowHeight="15"/>
  <cols>
    <col min="1" max="1" width="12.7109375" customWidth="1"/>
    <col min="2" max="2" width="8" bestFit="1" customWidth="1"/>
    <col min="3" max="3" width="7.5703125" bestFit="1" customWidth="1"/>
    <col min="5" max="5" width="13.7109375" bestFit="1" customWidth="1"/>
    <col min="6" max="6" width="15.7109375" bestFit="1" customWidth="1"/>
    <col min="7" max="7" width="7" bestFit="1" customWidth="1"/>
    <col min="8" max="8" width="10.42578125" bestFit="1" customWidth="1"/>
  </cols>
  <sheetData>
    <row r="1" spans="1:11" ht="11.25" customHeight="1"/>
    <row r="2" spans="1:11" ht="23.25" customHeight="1">
      <c r="A2" s="5" t="s">
        <v>0</v>
      </c>
      <c r="B2" s="5" t="s">
        <v>12</v>
      </c>
      <c r="C2" s="5" t="s">
        <v>13</v>
      </c>
      <c r="D2" s="5" t="s">
        <v>1</v>
      </c>
      <c r="E2" s="5" t="s">
        <v>14</v>
      </c>
      <c r="F2" s="38" t="s">
        <v>169</v>
      </c>
      <c r="G2" s="5" t="s">
        <v>15</v>
      </c>
      <c r="H2" s="5" t="s">
        <v>16</v>
      </c>
    </row>
    <row r="3" spans="1:11" ht="19.5">
      <c r="A3" s="39" t="s">
        <v>2</v>
      </c>
      <c r="B3" s="39">
        <v>63.2</v>
      </c>
      <c r="C3" s="39">
        <v>32.1</v>
      </c>
      <c r="D3" s="39">
        <v>288.12</v>
      </c>
      <c r="E3" s="44">
        <f>PI()*B3*B3*C3/4000</f>
        <v>100.69990720141283</v>
      </c>
      <c r="F3" s="44">
        <f>D3/E3</f>
        <v>2.8611744340908158</v>
      </c>
      <c r="G3" s="39">
        <v>29.01</v>
      </c>
      <c r="H3" s="40">
        <f>2*G3*1000/(PI()*B3*C3)</f>
        <v>9.1034443375051914</v>
      </c>
      <c r="I3" s="1"/>
      <c r="J3" s="2"/>
      <c r="K3" s="2"/>
    </row>
    <row r="4" spans="1:11" ht="19.5">
      <c r="A4" s="39" t="s">
        <v>3</v>
      </c>
      <c r="B4" s="39">
        <v>63.1</v>
      </c>
      <c r="C4" s="39">
        <v>31.9</v>
      </c>
      <c r="D4" s="39">
        <v>281.31</v>
      </c>
      <c r="E4" s="44">
        <f t="shared" ref="E4:E12" si="0">PI()*B4*B4*C4/4000</f>
        <v>99.756058885540753</v>
      </c>
      <c r="F4" s="44">
        <f t="shared" ref="F4:F12" si="1">D4/E4</f>
        <v>2.8199790884157991</v>
      </c>
      <c r="G4" s="39">
        <v>30.82</v>
      </c>
      <c r="H4" s="40">
        <f t="shared" ref="H4:H12" si="2">2*G4*1000/(PI()*B4*C4)</f>
        <v>9.7474881311789812</v>
      </c>
      <c r="I4" s="1"/>
      <c r="J4" s="2"/>
      <c r="K4" s="2"/>
    </row>
    <row r="5" spans="1:11" ht="19.5">
      <c r="A5" s="39" t="s">
        <v>4</v>
      </c>
      <c r="B5" s="39">
        <v>63.3</v>
      </c>
      <c r="C5" s="39">
        <v>32.1</v>
      </c>
      <c r="D5" s="39">
        <v>281.83999999999997</v>
      </c>
      <c r="E5" s="44">
        <f t="shared" si="0"/>
        <v>101.0188299066328</v>
      </c>
      <c r="F5" s="44">
        <f t="shared" si="1"/>
        <v>2.7899749013178248</v>
      </c>
      <c r="G5" s="39">
        <v>32.57</v>
      </c>
      <c r="H5" s="40">
        <f t="shared" si="2"/>
        <v>10.20443912241668</v>
      </c>
      <c r="I5" s="1"/>
      <c r="J5" s="2"/>
      <c r="K5" s="2"/>
    </row>
    <row r="6" spans="1:11" ht="19.5">
      <c r="A6" s="39" t="s">
        <v>5</v>
      </c>
      <c r="B6" s="39">
        <v>63.2</v>
      </c>
      <c r="C6" s="39">
        <v>31.8</v>
      </c>
      <c r="D6" s="39">
        <v>282.32</v>
      </c>
      <c r="E6" s="44">
        <f t="shared" si="0"/>
        <v>99.758786573362244</v>
      </c>
      <c r="F6" s="44">
        <f t="shared" si="1"/>
        <v>2.8300264036630289</v>
      </c>
      <c r="G6" s="39">
        <v>29.36</v>
      </c>
      <c r="H6" s="40">
        <f t="shared" si="2"/>
        <v>9.3001933149789959</v>
      </c>
      <c r="I6" s="1"/>
      <c r="J6" s="2"/>
      <c r="K6" s="2"/>
    </row>
    <row r="7" spans="1:11" ht="19.5">
      <c r="A7" s="39" t="s">
        <v>6</v>
      </c>
      <c r="B7" s="39">
        <v>63.5</v>
      </c>
      <c r="C7" s="39">
        <v>31.9</v>
      </c>
      <c r="D7" s="39">
        <v>280.85000000000002</v>
      </c>
      <c r="E7" s="44">
        <f t="shared" si="0"/>
        <v>101.02480364506361</v>
      </c>
      <c r="F7" s="44">
        <f t="shared" si="1"/>
        <v>2.7800103525736795</v>
      </c>
      <c r="G7" s="39">
        <v>34.42</v>
      </c>
      <c r="H7" s="40">
        <f t="shared" si="2"/>
        <v>10.817491948210279</v>
      </c>
      <c r="I7" s="1"/>
      <c r="J7" s="2"/>
      <c r="K7" s="2"/>
    </row>
    <row r="8" spans="1:11" ht="19.5">
      <c r="A8" s="39" t="s">
        <v>7</v>
      </c>
      <c r="B8" s="39">
        <v>63.1</v>
      </c>
      <c r="C8" s="39">
        <v>32.1</v>
      </c>
      <c r="D8" s="39">
        <v>280.06</v>
      </c>
      <c r="E8" s="44">
        <f t="shared" si="0"/>
        <v>100.38148872181374</v>
      </c>
      <c r="F8" s="44">
        <f t="shared" si="1"/>
        <v>2.7899566301126257</v>
      </c>
      <c r="G8" s="39">
        <v>30.38</v>
      </c>
      <c r="H8" s="40">
        <f t="shared" si="2"/>
        <v>9.5484636879240892</v>
      </c>
      <c r="I8" s="1"/>
      <c r="J8" s="2"/>
      <c r="K8" s="2"/>
    </row>
    <row r="9" spans="1:11" ht="19.5">
      <c r="A9" s="39" t="s">
        <v>8</v>
      </c>
      <c r="B9" s="39">
        <v>63.4</v>
      </c>
      <c r="C9" s="39">
        <v>31.9</v>
      </c>
      <c r="D9" s="39">
        <v>282.99</v>
      </c>
      <c r="E9" s="44">
        <f t="shared" si="0"/>
        <v>100.70686582914051</v>
      </c>
      <c r="F9" s="44">
        <f t="shared" si="1"/>
        <v>2.8100368100038131</v>
      </c>
      <c r="G9" s="39">
        <v>37.65</v>
      </c>
      <c r="H9" s="40">
        <f t="shared" si="2"/>
        <v>11.851277369955126</v>
      </c>
      <c r="I9" s="1"/>
      <c r="J9" s="2"/>
      <c r="K9" s="2"/>
    </row>
    <row r="10" spans="1:11" ht="19.5">
      <c r="A10" s="39" t="s">
        <v>9</v>
      </c>
      <c r="B10" s="39">
        <v>63.1</v>
      </c>
      <c r="C10" s="39">
        <v>31.8</v>
      </c>
      <c r="D10" s="39">
        <v>280.43</v>
      </c>
      <c r="E10" s="44">
        <f t="shared" si="0"/>
        <v>99.443343967404275</v>
      </c>
      <c r="F10" s="44">
        <f t="shared" si="1"/>
        <v>2.81999768724511</v>
      </c>
      <c r="G10" s="39">
        <v>37.590000000000003</v>
      </c>
      <c r="H10" s="40">
        <f t="shared" si="2"/>
        <v>11.926031976446183</v>
      </c>
      <c r="I10" s="1"/>
      <c r="J10" s="2"/>
      <c r="K10" s="2"/>
    </row>
    <row r="11" spans="1:11" ht="19.5">
      <c r="A11" s="39" t="s">
        <v>10</v>
      </c>
      <c r="B11" s="39">
        <v>63.6</v>
      </c>
      <c r="C11" s="39">
        <v>32.200000000000003</v>
      </c>
      <c r="D11" s="39">
        <v>283.36</v>
      </c>
      <c r="E11" s="44">
        <f t="shared" si="0"/>
        <v>102.29631379151979</v>
      </c>
      <c r="F11" s="44">
        <f t="shared" si="1"/>
        <v>2.769992285132469</v>
      </c>
      <c r="G11" s="39">
        <v>35.520000000000003</v>
      </c>
      <c r="H11" s="40">
        <f t="shared" si="2"/>
        <v>11.041805497527486</v>
      </c>
      <c r="I11" s="1"/>
      <c r="J11" s="2"/>
      <c r="K11" s="2"/>
    </row>
    <row r="12" spans="1:11" ht="19.5">
      <c r="A12" s="39" t="s">
        <v>11</v>
      </c>
      <c r="B12" s="39">
        <v>63.3</v>
      </c>
      <c r="C12" s="39">
        <v>31.9</v>
      </c>
      <c r="D12" s="39">
        <v>284.10000000000002</v>
      </c>
      <c r="E12" s="44">
        <f t="shared" si="0"/>
        <v>100.38942909724568</v>
      </c>
      <c r="F12" s="44">
        <f t="shared" si="1"/>
        <v>2.8299792374035393</v>
      </c>
      <c r="G12" s="39">
        <v>34.229999999999997</v>
      </c>
      <c r="H12" s="40">
        <f t="shared" si="2"/>
        <v>10.791768712525968</v>
      </c>
      <c r="I12" s="1"/>
      <c r="J12" s="2"/>
      <c r="K12" s="2"/>
    </row>
    <row r="13" spans="1:11" ht="19.5">
      <c r="A13" s="54"/>
      <c r="B13" s="54"/>
      <c r="C13" s="54"/>
      <c r="D13" s="54"/>
      <c r="E13" s="54"/>
      <c r="F13" s="69" t="s">
        <v>17</v>
      </c>
      <c r="G13" s="69"/>
      <c r="H13" s="45">
        <f>AVERAGE(H3:H12)</f>
        <v>10.433240409866897</v>
      </c>
    </row>
  </sheetData>
  <mergeCells count="1">
    <mergeCell ref="F13:G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>
      <selection activeCell="K29" sqref="K29"/>
    </sheetView>
  </sheetViews>
  <sheetFormatPr defaultRowHeight="15.75"/>
  <cols>
    <col min="1" max="1" width="5.140625" style="7" customWidth="1"/>
    <col min="2" max="2" width="5.85546875" style="7" customWidth="1"/>
    <col min="3" max="3" width="9.85546875" style="7" customWidth="1"/>
    <col min="4" max="4" width="9.7109375" style="7" customWidth="1"/>
    <col min="5" max="5" width="9.42578125" style="7" customWidth="1"/>
    <col min="6" max="6" width="9.7109375" style="7" customWidth="1"/>
    <col min="7" max="7" width="10.140625" style="7" customWidth="1"/>
    <col min="8" max="8" width="11" style="7" customWidth="1"/>
    <col min="9" max="16384" width="9.140625" style="7"/>
  </cols>
  <sheetData>
    <row r="1" spans="1:8" ht="18.75">
      <c r="A1" s="9" t="s">
        <v>18</v>
      </c>
      <c r="B1" s="9" t="s">
        <v>19</v>
      </c>
      <c r="C1" s="9" t="s">
        <v>20</v>
      </c>
      <c r="D1" s="9" t="s">
        <v>21</v>
      </c>
      <c r="E1" s="9" t="s">
        <v>15</v>
      </c>
      <c r="F1" s="9" t="s">
        <v>22</v>
      </c>
      <c r="G1" s="9" t="s">
        <v>23</v>
      </c>
      <c r="H1" s="9" t="s">
        <v>24</v>
      </c>
    </row>
    <row r="2" spans="1:8" ht="19.5">
      <c r="A2" s="7">
        <v>1</v>
      </c>
      <c r="B2" s="7" t="s">
        <v>25</v>
      </c>
      <c r="C2" s="47">
        <v>30.4</v>
      </c>
      <c r="D2" s="47">
        <v>17.2</v>
      </c>
      <c r="E2" s="48">
        <v>2.6869999999999998</v>
      </c>
      <c r="F2" s="47">
        <f>SQRT(C2*D2*4/PI())</f>
        <v>25.802160629511665</v>
      </c>
      <c r="G2" s="49">
        <f>E2*1000/(F2*F2)</f>
        <v>4.036040516081977</v>
      </c>
      <c r="H2" s="50">
        <f>G2*(F2/50)^0.45</f>
        <v>2.9968447759759127</v>
      </c>
    </row>
    <row r="3" spans="1:8" ht="19.5">
      <c r="A3" s="7">
        <v>2</v>
      </c>
      <c r="B3" s="7" t="s">
        <v>25</v>
      </c>
      <c r="C3" s="47">
        <v>16</v>
      </c>
      <c r="D3" s="47">
        <v>8</v>
      </c>
      <c r="E3" s="48">
        <v>0.97699999999999998</v>
      </c>
      <c r="F3" s="47">
        <f t="shared" ref="F3:F12" si="0">SQRT(C3*D3*4/PI())</f>
        <v>12.766152972845846</v>
      </c>
      <c r="G3" s="49">
        <f t="shared" ref="G3:G24" si="1">E3*1000/(F3*F3)</f>
        <v>5.9947969190570856</v>
      </c>
      <c r="H3" s="49">
        <f t="shared" ref="H3:H24" si="2">G3*(F3/50)^0.45</f>
        <v>3.2431347475119603</v>
      </c>
    </row>
    <row r="4" spans="1:8" ht="19.5">
      <c r="A4" s="7">
        <v>3</v>
      </c>
      <c r="B4" s="7" t="s">
        <v>25</v>
      </c>
      <c r="C4" s="47">
        <v>19.7</v>
      </c>
      <c r="D4" s="47">
        <v>15.6</v>
      </c>
      <c r="E4" s="48">
        <v>1.962</v>
      </c>
      <c r="F4" s="47">
        <f t="shared" si="0"/>
        <v>19.781101508460296</v>
      </c>
      <c r="G4" s="49">
        <f t="shared" si="1"/>
        <v>5.0141585207138926</v>
      </c>
      <c r="H4" s="49">
        <f t="shared" si="2"/>
        <v>3.3034996881847891</v>
      </c>
    </row>
    <row r="5" spans="1:8" ht="19.5">
      <c r="A5" s="7">
        <v>4</v>
      </c>
      <c r="B5" s="7" t="s">
        <v>25</v>
      </c>
      <c r="C5" s="47">
        <v>35.799999999999997</v>
      </c>
      <c r="D5" s="47">
        <v>18.100000000000001</v>
      </c>
      <c r="E5" s="48">
        <v>3.641</v>
      </c>
      <c r="F5" s="47">
        <f t="shared" si="0"/>
        <v>28.723400916282369</v>
      </c>
      <c r="G5" s="49">
        <f t="shared" si="1"/>
        <v>4.4131527407174742</v>
      </c>
      <c r="H5" s="49">
        <f t="shared" si="2"/>
        <v>3.4388924517617636</v>
      </c>
    </row>
    <row r="6" spans="1:8" ht="19.5">
      <c r="A6" s="7">
        <v>5</v>
      </c>
      <c r="B6" s="7" t="s">
        <v>25</v>
      </c>
      <c r="C6" s="47">
        <v>42.5</v>
      </c>
      <c r="D6" s="47">
        <v>29</v>
      </c>
      <c r="E6" s="48">
        <v>6.1189999999999998</v>
      </c>
      <c r="F6" s="47">
        <f t="shared" si="0"/>
        <v>39.613984132955977</v>
      </c>
      <c r="G6" s="49">
        <f t="shared" si="1"/>
        <v>3.899270881808508</v>
      </c>
      <c r="H6" s="49">
        <f t="shared" si="2"/>
        <v>3.5113873493149157</v>
      </c>
    </row>
    <row r="7" spans="1:8" ht="19.5">
      <c r="A7" s="7">
        <v>6</v>
      </c>
      <c r="B7" s="7" t="s">
        <v>25</v>
      </c>
      <c r="C7" s="47">
        <v>42</v>
      </c>
      <c r="D7" s="47">
        <v>35</v>
      </c>
      <c r="E7" s="48">
        <v>7.391</v>
      </c>
      <c r="F7" s="47">
        <f t="shared" si="0"/>
        <v>43.262710626597233</v>
      </c>
      <c r="G7" s="49">
        <f t="shared" si="1"/>
        <v>3.9488964800479867</v>
      </c>
      <c r="H7" s="50">
        <f t="shared" si="2"/>
        <v>3.6999037292264352</v>
      </c>
    </row>
    <row r="8" spans="1:8" ht="19.5">
      <c r="C8" s="51"/>
      <c r="D8" s="51"/>
      <c r="E8" s="48"/>
      <c r="F8" s="47"/>
      <c r="G8" s="49"/>
      <c r="H8" s="50"/>
    </row>
    <row r="9" spans="1:8" ht="19.5">
      <c r="A9" s="7">
        <v>7</v>
      </c>
      <c r="B9" s="7" t="s">
        <v>26</v>
      </c>
      <c r="C9" s="51">
        <v>44</v>
      </c>
      <c r="D9" s="51">
        <v>21</v>
      </c>
      <c r="E9" s="48">
        <v>4.5999999999999996</v>
      </c>
      <c r="F9" s="47">
        <f t="shared" si="0"/>
        <v>34.299757132307661</v>
      </c>
      <c r="G9" s="49">
        <f t="shared" si="1"/>
        <v>3.9099908567405435</v>
      </c>
      <c r="H9" s="49">
        <f t="shared" si="2"/>
        <v>3.3000476447709373</v>
      </c>
    </row>
    <row r="10" spans="1:8" ht="19.5">
      <c r="A10" s="7">
        <v>8</v>
      </c>
      <c r="B10" s="7" t="s">
        <v>26</v>
      </c>
      <c r="C10" s="51">
        <v>40</v>
      </c>
      <c r="D10" s="51">
        <v>30</v>
      </c>
      <c r="E10" s="48">
        <v>5.94</v>
      </c>
      <c r="F10" s="47">
        <f t="shared" si="0"/>
        <v>39.088200952233592</v>
      </c>
      <c r="G10" s="49">
        <f t="shared" si="1"/>
        <v>3.8877209088173692</v>
      </c>
      <c r="H10" s="49">
        <f t="shared" si="2"/>
        <v>3.4799991302316706</v>
      </c>
    </row>
    <row r="11" spans="1:8" ht="19.5">
      <c r="A11" s="7">
        <v>9</v>
      </c>
      <c r="B11" s="7" t="s">
        <v>26</v>
      </c>
      <c r="C11" s="51">
        <v>19.5</v>
      </c>
      <c r="D11" s="51">
        <v>15</v>
      </c>
      <c r="E11" s="48">
        <v>2.04</v>
      </c>
      <c r="F11" s="47">
        <f t="shared" si="0"/>
        <v>19.298252947742061</v>
      </c>
      <c r="G11" s="49">
        <f t="shared" si="1"/>
        <v>5.4776487293360487</v>
      </c>
      <c r="H11" s="50">
        <f t="shared" si="2"/>
        <v>3.5689525500400405</v>
      </c>
    </row>
    <row r="12" spans="1:8" ht="19.5">
      <c r="A12" s="7">
        <v>10</v>
      </c>
      <c r="B12" s="7" t="s">
        <v>26</v>
      </c>
      <c r="C12" s="51">
        <v>33</v>
      </c>
      <c r="D12" s="51">
        <v>16</v>
      </c>
      <c r="E12" s="48">
        <v>2.87</v>
      </c>
      <c r="F12" s="47">
        <f t="shared" si="0"/>
        <v>25.928179257714298</v>
      </c>
      <c r="G12" s="49">
        <f t="shared" si="1"/>
        <v>4.2691150169520391</v>
      </c>
      <c r="H12" s="50">
        <f t="shared" si="2"/>
        <v>3.1768650210859199</v>
      </c>
    </row>
    <row r="13" spans="1:8" ht="19.5">
      <c r="C13" s="51"/>
      <c r="D13" s="51"/>
      <c r="E13" s="48"/>
      <c r="F13" s="51"/>
      <c r="G13" s="49"/>
      <c r="H13" s="50"/>
    </row>
    <row r="14" spans="1:8" ht="19.5">
      <c r="A14" s="7">
        <v>11</v>
      </c>
      <c r="B14" s="7" t="s">
        <v>27</v>
      </c>
      <c r="C14" s="51" t="s">
        <v>28</v>
      </c>
      <c r="D14" s="51">
        <v>49.93</v>
      </c>
      <c r="E14" s="48">
        <v>5.1070000000000002</v>
      </c>
      <c r="F14" s="51">
        <f>D14</f>
        <v>49.93</v>
      </c>
      <c r="G14" s="49">
        <f t="shared" si="1"/>
        <v>2.0485318741250769</v>
      </c>
      <c r="H14" s="49">
        <f t="shared" si="2"/>
        <v>2.0472408018132473</v>
      </c>
    </row>
    <row r="15" spans="1:8" ht="19.5">
      <c r="A15" s="7">
        <v>12</v>
      </c>
      <c r="B15" s="7" t="s">
        <v>27</v>
      </c>
      <c r="C15" s="51" t="s">
        <v>28</v>
      </c>
      <c r="D15" s="51">
        <v>49.88</v>
      </c>
      <c r="E15" s="48">
        <v>4.6150000000000002</v>
      </c>
      <c r="F15" s="51">
        <f t="shared" ref="F15:F24" si="3">D15</f>
        <v>49.88</v>
      </c>
      <c r="G15" s="49">
        <f t="shared" si="1"/>
        <v>1.8548928012635293</v>
      </c>
      <c r="H15" s="49">
        <f t="shared" si="2"/>
        <v>1.8528881932285755</v>
      </c>
    </row>
    <row r="16" spans="1:8" ht="19.5">
      <c r="A16" s="7">
        <v>13</v>
      </c>
      <c r="B16" s="7" t="s">
        <v>27</v>
      </c>
      <c r="C16" s="51" t="s">
        <v>28</v>
      </c>
      <c r="D16" s="51">
        <v>49.82</v>
      </c>
      <c r="E16" s="48">
        <v>5.6820000000000004</v>
      </c>
      <c r="F16" s="51">
        <f t="shared" si="3"/>
        <v>49.82</v>
      </c>
      <c r="G16" s="49">
        <f t="shared" si="1"/>
        <v>2.2892529525400231</v>
      </c>
      <c r="H16" s="50">
        <f t="shared" si="2"/>
        <v>2.2855406844083128</v>
      </c>
    </row>
    <row r="17" spans="1:8" ht="19.5">
      <c r="A17" s="7">
        <v>14</v>
      </c>
      <c r="B17" s="7" t="s">
        <v>27</v>
      </c>
      <c r="C17" s="51" t="s">
        <v>28</v>
      </c>
      <c r="D17" s="51">
        <v>49.82</v>
      </c>
      <c r="E17" s="48">
        <v>4.1390000000000002</v>
      </c>
      <c r="F17" s="51">
        <f t="shared" si="3"/>
        <v>49.82</v>
      </c>
      <c r="G17" s="49">
        <f t="shared" si="1"/>
        <v>1.6675850000991124</v>
      </c>
      <c r="H17" s="50">
        <f t="shared" si="2"/>
        <v>1.6648808329401634</v>
      </c>
    </row>
    <row r="18" spans="1:8" ht="19.5">
      <c r="A18" s="7">
        <v>15</v>
      </c>
      <c r="B18" s="7" t="s">
        <v>27</v>
      </c>
      <c r="C18" s="51" t="s">
        <v>28</v>
      </c>
      <c r="D18" s="51">
        <v>49.86</v>
      </c>
      <c r="E18" s="48">
        <v>4.5460000000000003</v>
      </c>
      <c r="F18" s="51">
        <f t="shared" si="3"/>
        <v>49.86</v>
      </c>
      <c r="G18" s="49">
        <f t="shared" si="1"/>
        <v>1.8286259689987963</v>
      </c>
      <c r="H18" s="49">
        <f t="shared" si="2"/>
        <v>1.8263201235737734</v>
      </c>
    </row>
    <row r="19" spans="1:8" ht="19.5">
      <c r="C19" s="51"/>
      <c r="D19" s="51"/>
      <c r="E19" s="48"/>
      <c r="F19" s="51">
        <f t="shared" si="3"/>
        <v>0</v>
      </c>
      <c r="G19" s="49"/>
      <c r="H19" s="49"/>
    </row>
    <row r="20" spans="1:8" ht="19.5">
      <c r="A20" s="7">
        <v>16</v>
      </c>
      <c r="B20" s="7" t="s">
        <v>27</v>
      </c>
      <c r="C20" s="51" t="s">
        <v>28</v>
      </c>
      <c r="D20" s="49">
        <v>25.23</v>
      </c>
      <c r="E20" s="48">
        <v>1.837</v>
      </c>
      <c r="F20" s="51">
        <f t="shared" si="3"/>
        <v>25.23</v>
      </c>
      <c r="G20" s="49">
        <f t="shared" si="1"/>
        <v>2.885855990916073</v>
      </c>
      <c r="H20" s="49">
        <f t="shared" si="2"/>
        <v>2.1212942562999411</v>
      </c>
    </row>
    <row r="21" spans="1:8" ht="19.5">
      <c r="A21" s="7">
        <v>17</v>
      </c>
      <c r="B21" s="7" t="s">
        <v>27</v>
      </c>
      <c r="C21" s="51" t="s">
        <v>28</v>
      </c>
      <c r="D21" s="49">
        <v>25</v>
      </c>
      <c r="E21" s="48">
        <v>1.891</v>
      </c>
      <c r="F21" s="51">
        <f t="shared" si="3"/>
        <v>25</v>
      </c>
      <c r="G21" s="49">
        <f t="shared" si="1"/>
        <v>3.0255999999999998</v>
      </c>
      <c r="H21" s="49">
        <f t="shared" si="2"/>
        <v>2.2148688408265422</v>
      </c>
    </row>
    <row r="22" spans="1:8" ht="19.5">
      <c r="A22" s="7">
        <v>18</v>
      </c>
      <c r="B22" s="7" t="s">
        <v>27</v>
      </c>
      <c r="C22" s="51" t="s">
        <v>28</v>
      </c>
      <c r="D22" s="49">
        <v>25.07</v>
      </c>
      <c r="E22" s="48">
        <v>2.1179999999999999</v>
      </c>
      <c r="F22" s="51">
        <f t="shared" si="3"/>
        <v>25.07</v>
      </c>
      <c r="G22" s="49">
        <f t="shared" si="1"/>
        <v>3.3699021280502346</v>
      </c>
      <c r="H22" s="50">
        <f t="shared" si="2"/>
        <v>2.4700186713315881</v>
      </c>
    </row>
    <row r="23" spans="1:8" ht="19.5">
      <c r="A23" s="7">
        <v>19</v>
      </c>
      <c r="B23" s="7" t="s">
        <v>27</v>
      </c>
      <c r="C23" s="51" t="s">
        <v>28</v>
      </c>
      <c r="D23" s="49">
        <v>25.06</v>
      </c>
      <c r="E23" s="48">
        <v>1.454</v>
      </c>
      <c r="F23" s="51">
        <f t="shared" si="3"/>
        <v>25.06</v>
      </c>
      <c r="G23" s="49">
        <f t="shared" si="1"/>
        <v>2.3152733519361997</v>
      </c>
      <c r="H23" s="50">
        <f t="shared" si="2"/>
        <v>1.6967085614149982</v>
      </c>
    </row>
    <row r="24" spans="1:8" ht="19.5">
      <c r="A24" s="4">
        <v>20</v>
      </c>
      <c r="B24" s="4" t="s">
        <v>27</v>
      </c>
      <c r="C24" s="43" t="s">
        <v>28</v>
      </c>
      <c r="D24" s="46">
        <v>25.04</v>
      </c>
      <c r="E24" s="52">
        <v>1.54</v>
      </c>
      <c r="F24" s="43">
        <f t="shared" si="3"/>
        <v>25.04</v>
      </c>
      <c r="G24" s="46">
        <f t="shared" si="1"/>
        <v>2.4561340832304097</v>
      </c>
      <c r="H24" s="46">
        <f t="shared" si="2"/>
        <v>1.7992893768368265</v>
      </c>
    </row>
    <row r="25" spans="1:8">
      <c r="E25" s="8"/>
    </row>
    <row r="26" spans="1:8" ht="19.5">
      <c r="A26" s="10" t="s">
        <v>29</v>
      </c>
      <c r="B26" s="10" t="s">
        <v>35</v>
      </c>
      <c r="C26" s="10"/>
      <c r="D26" s="10"/>
      <c r="E26" s="11"/>
      <c r="F26" s="71" t="s">
        <v>43</v>
      </c>
      <c r="G26" s="71"/>
      <c r="H26" s="53" t="s">
        <v>44</v>
      </c>
    </row>
    <row r="27" spans="1:8" ht="19.5">
      <c r="A27" s="10" t="s">
        <v>30</v>
      </c>
      <c r="B27" s="10" t="s">
        <v>36</v>
      </c>
      <c r="C27" s="10"/>
      <c r="D27" s="10"/>
      <c r="E27" s="11"/>
      <c r="F27" s="72" t="s">
        <v>42</v>
      </c>
      <c r="G27" s="72"/>
      <c r="H27" s="39" t="s">
        <v>45</v>
      </c>
    </row>
    <row r="28" spans="1:8" ht="19.5">
      <c r="A28" s="10" t="s">
        <v>31</v>
      </c>
      <c r="B28" s="70" t="s">
        <v>37</v>
      </c>
      <c r="C28" s="70"/>
      <c r="D28" s="10"/>
      <c r="E28" s="10"/>
      <c r="F28" s="15" t="s">
        <v>41</v>
      </c>
      <c r="G28" s="4"/>
      <c r="H28" s="43">
        <v>1.71</v>
      </c>
    </row>
    <row r="29" spans="1:8">
      <c r="A29" s="10" t="s">
        <v>32</v>
      </c>
      <c r="B29" s="70" t="s">
        <v>38</v>
      </c>
      <c r="C29" s="70"/>
      <c r="D29" s="10"/>
      <c r="E29" s="10"/>
    </row>
    <row r="30" spans="1:8">
      <c r="A30" s="13" t="s">
        <v>33</v>
      </c>
      <c r="B30" s="12" t="s">
        <v>39</v>
      </c>
      <c r="C30" s="12"/>
      <c r="D30" s="12"/>
      <c r="E30" s="12"/>
    </row>
    <row r="31" spans="1:8">
      <c r="A31" s="13" t="s">
        <v>34</v>
      </c>
      <c r="B31" s="12" t="s">
        <v>40</v>
      </c>
      <c r="C31" s="12"/>
      <c r="D31" s="12"/>
      <c r="E31" s="12"/>
    </row>
  </sheetData>
  <mergeCells count="4">
    <mergeCell ref="B28:C28"/>
    <mergeCell ref="B29:C29"/>
    <mergeCell ref="F26:G26"/>
    <mergeCell ref="F27:G2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>
      <selection activeCell="G30" sqref="G29:G30"/>
    </sheetView>
  </sheetViews>
  <sheetFormatPr defaultRowHeight="15.75"/>
  <cols>
    <col min="1" max="1" width="60" style="17" bestFit="1" customWidth="1"/>
    <col min="2" max="3" width="13.28515625" style="7" bestFit="1" customWidth="1"/>
    <col min="4" max="4" width="9.140625" style="17"/>
    <col min="5" max="6" width="11.28515625" style="17" bestFit="1" customWidth="1"/>
    <col min="7" max="7" width="10.5703125" style="17" bestFit="1" customWidth="1"/>
    <col min="8" max="16384" width="9.140625" style="17"/>
  </cols>
  <sheetData>
    <row r="1" spans="1:7">
      <c r="A1" s="21" t="s">
        <v>61</v>
      </c>
      <c r="B1" s="9" t="s">
        <v>75</v>
      </c>
      <c r="C1" s="9" t="s">
        <v>76</v>
      </c>
      <c r="D1" s="21"/>
      <c r="E1" s="9" t="s">
        <v>72</v>
      </c>
      <c r="F1" s="9" t="s">
        <v>73</v>
      </c>
      <c r="G1" s="9" t="s">
        <v>74</v>
      </c>
    </row>
    <row r="2" spans="1:7">
      <c r="A2" s="18"/>
      <c r="B2" s="3"/>
      <c r="C2" s="3"/>
      <c r="D2" s="18"/>
      <c r="E2" s="3"/>
      <c r="F2" s="3"/>
      <c r="G2" s="3"/>
    </row>
    <row r="3" spans="1:7" ht="19.5">
      <c r="A3" s="18" t="s">
        <v>54</v>
      </c>
      <c r="B3" s="39">
        <v>1476</v>
      </c>
      <c r="C3" s="39">
        <v>1457</v>
      </c>
      <c r="D3" s="41"/>
      <c r="E3" s="39">
        <v>1464</v>
      </c>
      <c r="F3" s="39">
        <v>1493</v>
      </c>
      <c r="G3" s="39">
        <v>1503</v>
      </c>
    </row>
    <row r="4" spans="1:7" ht="20.25">
      <c r="A4" s="18" t="s">
        <v>55</v>
      </c>
      <c r="B4" s="39">
        <v>1472</v>
      </c>
      <c r="C4" s="39">
        <v>1452</v>
      </c>
      <c r="D4" s="41"/>
      <c r="E4" s="39">
        <v>1125</v>
      </c>
      <c r="F4" s="39">
        <v>1114</v>
      </c>
      <c r="G4" s="39">
        <v>1103</v>
      </c>
    </row>
    <row r="5" spans="1:7" ht="20.25">
      <c r="A5" s="18" t="s">
        <v>56</v>
      </c>
      <c r="B5" s="39">
        <v>1467</v>
      </c>
      <c r="C5" s="39">
        <v>1446</v>
      </c>
      <c r="D5" s="41"/>
      <c r="E5" s="39">
        <v>1013</v>
      </c>
      <c r="F5" s="39">
        <v>1004</v>
      </c>
      <c r="G5" s="39">
        <v>1009</v>
      </c>
    </row>
    <row r="6" spans="1:7" ht="19.5">
      <c r="A6" s="18" t="s">
        <v>57</v>
      </c>
      <c r="B6" s="39">
        <v>971</v>
      </c>
      <c r="C6" s="39">
        <v>970</v>
      </c>
      <c r="D6" s="41"/>
      <c r="E6" s="39">
        <v>968</v>
      </c>
      <c r="F6" s="39">
        <v>969</v>
      </c>
      <c r="G6" s="39">
        <v>968</v>
      </c>
    </row>
    <row r="7" spans="1:7" ht="22.5">
      <c r="A7" s="20" t="s">
        <v>59</v>
      </c>
      <c r="B7" s="62">
        <f>(B5-B6)*100/(B3-B6)</f>
        <v>98.21782178217822</v>
      </c>
      <c r="C7" s="62">
        <f>(C5-C6)*100/(C3-C6)</f>
        <v>97.741273100616013</v>
      </c>
      <c r="D7" s="63"/>
      <c r="E7" s="62">
        <f t="shared" ref="E7:G7" si="0">(E5-E6)*100/(E3-E6)</f>
        <v>9.07258064516129</v>
      </c>
      <c r="F7" s="62">
        <f t="shared" si="0"/>
        <v>6.6793893129770989</v>
      </c>
      <c r="G7" s="62">
        <f t="shared" si="0"/>
        <v>7.6635514018691593</v>
      </c>
    </row>
    <row r="8" spans="1:7" ht="20.25">
      <c r="A8" s="18" t="s">
        <v>58</v>
      </c>
      <c r="B8" s="40">
        <f>(B4-B6)*100/(B3-B6)</f>
        <v>99.207920792079207</v>
      </c>
      <c r="C8" s="40">
        <f>(C4-C6)*100/(C3-C6)</f>
        <v>98.973305954825463</v>
      </c>
      <c r="D8" s="40"/>
      <c r="E8" s="62">
        <f t="shared" ref="E8:G8" si="1">(E4-E6)*100/(E3-E6)</f>
        <v>31.653225806451612</v>
      </c>
      <c r="F8" s="62">
        <f t="shared" si="1"/>
        <v>27.671755725190838</v>
      </c>
      <c r="G8" s="62">
        <f t="shared" si="1"/>
        <v>25.233644859813083</v>
      </c>
    </row>
    <row r="9" spans="1:7" ht="19.5">
      <c r="A9" s="18"/>
      <c r="B9" s="39"/>
      <c r="C9" s="39"/>
      <c r="D9" s="41"/>
      <c r="E9" s="41"/>
      <c r="F9" s="41"/>
      <c r="G9" s="41"/>
    </row>
    <row r="10" spans="1:7" ht="20.25">
      <c r="A10" s="18" t="s">
        <v>60</v>
      </c>
      <c r="B10" s="39">
        <v>1464</v>
      </c>
      <c r="C10" s="39">
        <v>1443</v>
      </c>
      <c r="D10" s="41"/>
      <c r="E10" s="39" t="s">
        <v>28</v>
      </c>
      <c r="F10" s="39" t="s">
        <v>28</v>
      </c>
      <c r="G10" s="39" t="s">
        <v>28</v>
      </c>
    </row>
    <row r="11" spans="1:7" ht="19.5">
      <c r="A11" s="18" t="s">
        <v>62</v>
      </c>
      <c r="B11" s="39"/>
      <c r="C11" s="39"/>
      <c r="D11" s="41"/>
      <c r="E11" s="41"/>
      <c r="F11" s="41"/>
      <c r="G11" s="41"/>
    </row>
    <row r="12" spans="1:7" ht="20.25">
      <c r="A12" s="18" t="s">
        <v>63</v>
      </c>
      <c r="B12" s="40">
        <f>(B10-B6)*100/(B3-B6)</f>
        <v>97.623762376237622</v>
      </c>
      <c r="C12" s="40">
        <f>(C10-C6)*100/(C3-C6)</f>
        <v>97.125256673511288</v>
      </c>
      <c r="D12" s="40"/>
      <c r="E12" s="39" t="s">
        <v>28</v>
      </c>
      <c r="F12" s="39" t="s">
        <v>28</v>
      </c>
      <c r="G12" s="39" t="s">
        <v>28</v>
      </c>
    </row>
    <row r="13" spans="1:7" ht="19.5">
      <c r="A13" s="18"/>
      <c r="B13" s="40"/>
      <c r="C13" s="40"/>
      <c r="D13" s="41"/>
      <c r="E13" s="41"/>
      <c r="F13" s="41"/>
      <c r="G13" s="41"/>
    </row>
    <row r="14" spans="1:7" ht="20.25">
      <c r="A14" s="18" t="s">
        <v>68</v>
      </c>
      <c r="B14" s="40">
        <v>1468</v>
      </c>
      <c r="C14" s="40">
        <v>1447</v>
      </c>
      <c r="D14" s="41"/>
      <c r="E14" s="41"/>
      <c r="F14" s="41"/>
      <c r="G14" s="41"/>
    </row>
    <row r="15" spans="1:7" ht="19.5">
      <c r="A15" s="18" t="s">
        <v>69</v>
      </c>
      <c r="B15" s="40" t="s">
        <v>64</v>
      </c>
      <c r="C15" s="40" t="s">
        <v>64</v>
      </c>
      <c r="D15" s="41"/>
      <c r="E15" s="41"/>
      <c r="F15" s="41"/>
      <c r="G15" s="41"/>
    </row>
    <row r="16" spans="1:7" ht="20.25">
      <c r="A16" s="18" t="s">
        <v>70</v>
      </c>
      <c r="B16" s="40">
        <f>(B14-B6)*100/(B3-B6)</f>
        <v>98.415841584158414</v>
      </c>
      <c r="C16" s="40">
        <f t="shared" ref="C16" si="2">(C14-C6)*100/(C3-C6)</f>
        <v>97.946611909650926</v>
      </c>
      <c r="D16" s="40"/>
      <c r="E16" s="40"/>
      <c r="F16" s="40"/>
      <c r="G16" s="40"/>
    </row>
    <row r="17" spans="1:7" customFormat="1" ht="16.5">
      <c r="A17" s="16"/>
      <c r="B17" s="64"/>
      <c r="C17" s="64"/>
      <c r="D17" s="64"/>
      <c r="E17" s="64"/>
      <c r="F17" s="64"/>
      <c r="G17" s="64"/>
    </row>
    <row r="18" spans="1:7" ht="19.5">
      <c r="A18" s="18" t="s">
        <v>65</v>
      </c>
      <c r="B18" s="73" t="s">
        <v>66</v>
      </c>
      <c r="C18" s="73"/>
      <c r="D18" s="41"/>
      <c r="E18" s="74" t="s">
        <v>71</v>
      </c>
      <c r="F18" s="74"/>
      <c r="G18" s="74"/>
    </row>
    <row r="19" spans="1:7" ht="19.5">
      <c r="A19" s="19" t="s">
        <v>67</v>
      </c>
      <c r="B19" s="43" t="s">
        <v>173</v>
      </c>
      <c r="C19" s="43" t="s">
        <v>173</v>
      </c>
      <c r="D19" s="67"/>
      <c r="E19" s="43" t="s">
        <v>174</v>
      </c>
      <c r="F19" s="43" t="s">
        <v>174</v>
      </c>
      <c r="G19" s="43" t="s">
        <v>174</v>
      </c>
    </row>
  </sheetData>
  <mergeCells count="2">
    <mergeCell ref="B18:C18"/>
    <mergeCell ref="E18:G18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>
      <selection activeCell="Q10" sqref="Q9:Q10"/>
    </sheetView>
  </sheetViews>
  <sheetFormatPr defaultRowHeight="15.75"/>
  <cols>
    <col min="1" max="1" width="11.42578125" style="17" bestFit="1" customWidth="1"/>
    <col min="2" max="5" width="9.140625" style="17"/>
    <col min="6" max="6" width="22.28515625" style="17" customWidth="1"/>
    <col min="7" max="16384" width="9.140625" style="17"/>
  </cols>
  <sheetData>
    <row r="1" spans="1:6" ht="18.75">
      <c r="A1" s="9" t="s">
        <v>61</v>
      </c>
      <c r="B1" s="9" t="s">
        <v>93</v>
      </c>
      <c r="C1" s="9" t="s">
        <v>94</v>
      </c>
      <c r="D1" s="9" t="s">
        <v>95</v>
      </c>
      <c r="E1" s="9" t="s">
        <v>97</v>
      </c>
      <c r="F1" s="9" t="s">
        <v>96</v>
      </c>
    </row>
    <row r="2" spans="1:6" ht="19.5">
      <c r="A2" s="39" t="s">
        <v>102</v>
      </c>
      <c r="B2" s="39">
        <v>56.05</v>
      </c>
      <c r="C2" s="39">
        <v>643.20000000000005</v>
      </c>
      <c r="D2" s="39">
        <v>622.6</v>
      </c>
      <c r="E2" s="40">
        <f>(C2-D2)*100/(D2-B2)</f>
        <v>3.6360427146765546</v>
      </c>
      <c r="F2" s="39" t="s">
        <v>104</v>
      </c>
    </row>
    <row r="3" spans="1:6" ht="19.5">
      <c r="A3" s="39" t="s">
        <v>101</v>
      </c>
      <c r="B3" s="39">
        <v>56.05</v>
      </c>
      <c r="C3" s="39">
        <v>678.4</v>
      </c>
      <c r="D3" s="39">
        <v>658.5</v>
      </c>
      <c r="E3" s="40">
        <f t="shared" ref="E3:E4" si="0">(C3-D3)*100/(D3-B3)</f>
        <v>3.3031786870279651</v>
      </c>
      <c r="F3" s="39" t="s">
        <v>104</v>
      </c>
    </row>
    <row r="4" spans="1:6" ht="19.5">
      <c r="A4" s="43" t="s">
        <v>103</v>
      </c>
      <c r="B4" s="43">
        <v>56.05</v>
      </c>
      <c r="C4" s="43">
        <v>623.9</v>
      </c>
      <c r="D4" s="43">
        <v>603.70000000000005</v>
      </c>
      <c r="E4" s="42">
        <f t="shared" si="0"/>
        <v>3.6884871724641521</v>
      </c>
      <c r="F4" s="43" t="s">
        <v>105</v>
      </c>
    </row>
    <row r="14" spans="1:6" ht="18.75">
      <c r="A14" s="12" t="s">
        <v>98</v>
      </c>
      <c r="B14" s="12"/>
      <c r="C14" s="12"/>
      <c r="D14" s="12"/>
    </row>
    <row r="15" spans="1:6" ht="18.75">
      <c r="A15" s="70" t="s">
        <v>99</v>
      </c>
      <c r="B15" s="70"/>
      <c r="C15" s="70"/>
      <c r="D15" s="70"/>
      <c r="E15" s="70"/>
    </row>
    <row r="16" spans="1:6" ht="18.75">
      <c r="A16" s="70" t="s">
        <v>100</v>
      </c>
      <c r="B16" s="70"/>
      <c r="C16" s="70"/>
      <c r="D16" s="70"/>
      <c r="E16" s="70"/>
    </row>
  </sheetData>
  <mergeCells count="2">
    <mergeCell ref="A15:E15"/>
    <mergeCell ref="A16:E1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>
      <selection activeCell="L9" sqref="L9"/>
    </sheetView>
  </sheetViews>
  <sheetFormatPr defaultRowHeight="15.75"/>
  <cols>
    <col min="1" max="1" width="11.42578125" style="17" bestFit="1" customWidth="1"/>
    <col min="2" max="2" width="9.5703125" style="17" bestFit="1" customWidth="1"/>
    <col min="3" max="3" width="7.28515625" style="17" bestFit="1" customWidth="1"/>
    <col min="4" max="4" width="7.28515625" style="17" customWidth="1"/>
    <col min="5" max="5" width="8" style="17" bestFit="1" customWidth="1"/>
    <col min="6" max="6" width="13.28515625" style="17" bestFit="1" customWidth="1"/>
    <col min="7" max="7" width="24.7109375" style="17" bestFit="1" customWidth="1"/>
    <col min="8" max="12" width="9.140625" style="17"/>
    <col min="13" max="13" width="10.7109375" style="17" bestFit="1" customWidth="1"/>
    <col min="14" max="16384" width="9.140625" style="17"/>
  </cols>
  <sheetData>
    <row r="1" spans="1:14" ht="18.75">
      <c r="A1" s="14" t="s">
        <v>83</v>
      </c>
      <c r="B1" s="14" t="s">
        <v>77</v>
      </c>
      <c r="C1" s="14" t="s">
        <v>78</v>
      </c>
      <c r="D1" s="14" t="s">
        <v>88</v>
      </c>
      <c r="E1" s="14" t="s">
        <v>170</v>
      </c>
      <c r="F1" s="14" t="s">
        <v>80</v>
      </c>
      <c r="G1" s="14" t="s">
        <v>82</v>
      </c>
      <c r="H1" s="25" t="s">
        <v>85</v>
      </c>
      <c r="I1" s="25" t="s">
        <v>86</v>
      </c>
    </row>
    <row r="2" spans="1:14" ht="18">
      <c r="A2" s="4" t="s">
        <v>84</v>
      </c>
      <c r="B2" s="4" t="s">
        <v>79</v>
      </c>
      <c r="C2" s="4" t="s">
        <v>79</v>
      </c>
      <c r="D2" s="4" t="s">
        <v>89</v>
      </c>
      <c r="E2" s="4" t="s">
        <v>171</v>
      </c>
      <c r="F2" s="4" t="s">
        <v>81</v>
      </c>
      <c r="G2" s="4" t="s">
        <v>92</v>
      </c>
      <c r="H2" s="4" t="s">
        <v>81</v>
      </c>
      <c r="I2" s="4" t="s">
        <v>81</v>
      </c>
    </row>
    <row r="3" spans="1:14" ht="19.5">
      <c r="A3" s="53" t="s">
        <v>87</v>
      </c>
      <c r="B3" s="53">
        <v>63.4</v>
      </c>
      <c r="C3" s="53">
        <v>129.22</v>
      </c>
      <c r="D3" s="53">
        <v>1150</v>
      </c>
      <c r="E3" s="68">
        <f>9.81*4000*D3/(PI()*B3*B3*C3)</f>
        <v>27.654684865442551</v>
      </c>
      <c r="F3" s="53">
        <v>5</v>
      </c>
      <c r="G3" s="68">
        <v>95.5</v>
      </c>
      <c r="H3" s="53">
        <f>F3</f>
        <v>5</v>
      </c>
      <c r="I3" s="68">
        <f>H3+G3</f>
        <v>100.5</v>
      </c>
    </row>
    <row r="4" spans="1:14" ht="19.5">
      <c r="A4" s="66" t="s">
        <v>90</v>
      </c>
      <c r="B4" s="66">
        <v>63.3</v>
      </c>
      <c r="C4" s="66">
        <v>129.69999999999999</v>
      </c>
      <c r="D4" s="66">
        <v>1181</v>
      </c>
      <c r="E4" s="65">
        <f t="shared" ref="E4:E5" si="0">9.81*4000*D4/(PI()*B4*B4*C4)</f>
        <v>28.384524776117761</v>
      </c>
      <c r="F4" s="66">
        <v>25</v>
      </c>
      <c r="G4" s="65">
        <v>134.5</v>
      </c>
      <c r="H4" s="66">
        <f t="shared" ref="H4:H5" si="1">F4</f>
        <v>25</v>
      </c>
      <c r="I4" s="65">
        <f t="shared" ref="I4:I5" si="2">H4+G4</f>
        <v>159.5</v>
      </c>
    </row>
    <row r="5" spans="1:14" ht="19.5">
      <c r="A5" s="43" t="s">
        <v>91</v>
      </c>
      <c r="B5" s="43">
        <v>63.2</v>
      </c>
      <c r="C5" s="43">
        <v>129.5</v>
      </c>
      <c r="D5" s="43">
        <v>1174</v>
      </c>
      <c r="E5" s="42">
        <f t="shared" si="0"/>
        <v>28.34936254604736</v>
      </c>
      <c r="F5" s="43">
        <v>50</v>
      </c>
      <c r="G5" s="42">
        <v>157</v>
      </c>
      <c r="H5" s="43">
        <f t="shared" si="1"/>
        <v>50</v>
      </c>
      <c r="I5" s="42">
        <f t="shared" si="2"/>
        <v>207</v>
      </c>
    </row>
    <row r="6" spans="1:14">
      <c r="L6" s="24"/>
    </row>
    <row r="7" spans="1:14">
      <c r="M7" s="24"/>
    </row>
    <row r="8" spans="1:14">
      <c r="K8" s="24"/>
    </row>
    <row r="10" spans="1:14">
      <c r="L10" s="22"/>
    </row>
    <row r="11" spans="1:14">
      <c r="L11" s="22"/>
    </row>
    <row r="12" spans="1:14">
      <c r="L12" s="22"/>
    </row>
    <row r="13" spans="1:14">
      <c r="L13" s="22"/>
      <c r="M13" s="22"/>
    </row>
    <row r="14" spans="1:14">
      <c r="L14" s="22"/>
      <c r="M14" s="22"/>
    </row>
    <row r="15" spans="1:14">
      <c r="L15" s="22"/>
      <c r="M15" s="22"/>
      <c r="N15" s="23"/>
    </row>
    <row r="16" spans="1:14">
      <c r="L16" s="22"/>
      <c r="M16" s="22"/>
      <c r="N16" s="23"/>
    </row>
    <row r="17" spans="12:14">
      <c r="L17" s="22"/>
      <c r="M17" s="22"/>
      <c r="N17" s="23"/>
    </row>
    <row r="18" spans="12:14">
      <c r="L18" s="22"/>
      <c r="M18" s="22"/>
      <c r="N18" s="23"/>
    </row>
    <row r="19" spans="12:14">
      <c r="L19" s="22"/>
      <c r="M19" s="22"/>
      <c r="N19" s="23"/>
    </row>
    <row r="20" spans="12:14">
      <c r="L20" s="22"/>
      <c r="M20" s="22"/>
      <c r="N20" s="23"/>
    </row>
    <row r="21" spans="12:14">
      <c r="L21" s="22"/>
      <c r="M21" s="22"/>
      <c r="N21" s="23"/>
    </row>
    <row r="22" spans="12:14">
      <c r="L22" s="22"/>
      <c r="M22" s="22"/>
      <c r="N22" s="23"/>
    </row>
    <row r="23" spans="12:14">
      <c r="L23" s="22"/>
      <c r="M23" s="22"/>
      <c r="N23" s="23"/>
    </row>
    <row r="24" spans="12:14">
      <c r="L24" s="22"/>
      <c r="M24" s="22"/>
      <c r="N24" s="23"/>
    </row>
    <row r="25" spans="12:14">
      <c r="L25" s="22"/>
      <c r="M25" s="22"/>
      <c r="N25" s="23"/>
    </row>
    <row r="26" spans="12:14">
      <c r="L26" s="22"/>
      <c r="M26" s="22"/>
      <c r="N26" s="23"/>
    </row>
    <row r="27" spans="12:14">
      <c r="L27" s="22"/>
      <c r="M27" s="22"/>
      <c r="N27" s="23"/>
    </row>
    <row r="28" spans="12:14">
      <c r="L28" s="22"/>
      <c r="M28" s="22"/>
      <c r="N28" s="23"/>
    </row>
    <row r="29" spans="12:14">
      <c r="L29" s="22"/>
      <c r="M29" s="22"/>
      <c r="N29" s="23"/>
    </row>
    <row r="30" spans="12:14">
      <c r="L30" s="22"/>
      <c r="M30" s="22"/>
      <c r="N30" s="23"/>
    </row>
    <row r="31" spans="12:14">
      <c r="L31" s="22"/>
      <c r="M31" s="22"/>
      <c r="N31" s="23"/>
    </row>
    <row r="32" spans="12:14">
      <c r="L32" s="22"/>
      <c r="M32" s="22"/>
      <c r="N32" s="23"/>
    </row>
    <row r="33" spans="12:14">
      <c r="L33" s="22"/>
      <c r="M33" s="22"/>
      <c r="N33" s="23"/>
    </row>
    <row r="34" spans="12:14">
      <c r="L34" s="22"/>
      <c r="M34" s="22"/>
      <c r="N34" s="23"/>
    </row>
    <row r="35" spans="12:14">
      <c r="L35" s="22"/>
      <c r="M35" s="22"/>
      <c r="N35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6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workbookViewId="0">
      <selection activeCell="M26" sqref="M26"/>
    </sheetView>
  </sheetViews>
  <sheetFormatPr defaultRowHeight="15.75"/>
  <cols>
    <col min="1" max="1" width="11.42578125" style="17" customWidth="1"/>
    <col min="2" max="4" width="9.140625" style="17"/>
    <col min="5" max="5" width="6.42578125" style="17" customWidth="1"/>
    <col min="6" max="6" width="2.140625" style="17" customWidth="1"/>
    <col min="7" max="7" width="1.5703125" style="17" customWidth="1"/>
    <col min="8" max="8" width="11.42578125" style="17" bestFit="1" customWidth="1"/>
    <col min="9" max="9" width="10.28515625" style="17" bestFit="1" customWidth="1"/>
    <col min="10" max="10" width="10" style="17" bestFit="1" customWidth="1"/>
    <col min="11" max="11" width="7.7109375" style="17" customWidth="1"/>
    <col min="12" max="12" width="10" style="17" customWidth="1"/>
    <col min="13" max="13" width="10.28515625" style="17" bestFit="1" customWidth="1"/>
    <col min="14" max="14" width="10" style="17" bestFit="1" customWidth="1"/>
    <col min="15" max="15" width="10.28515625" style="17" bestFit="1" customWidth="1"/>
    <col min="16" max="16" width="10" style="17" bestFit="1" customWidth="1"/>
    <col min="17" max="16384" width="9.140625" style="17"/>
  </cols>
  <sheetData>
    <row r="1" spans="1:17" ht="16.5" thickBot="1">
      <c r="A1" s="17" t="s">
        <v>133</v>
      </c>
      <c r="H1" s="27"/>
      <c r="I1" s="77" t="s">
        <v>157</v>
      </c>
      <c r="J1" s="77"/>
      <c r="K1" s="77"/>
      <c r="L1" s="7"/>
      <c r="M1" s="76"/>
      <c r="N1" s="76"/>
      <c r="O1" s="76"/>
      <c r="P1" s="76"/>
    </row>
    <row r="2" spans="1:17">
      <c r="A2" s="75" t="s">
        <v>146</v>
      </c>
      <c r="B2" s="75"/>
      <c r="C2" s="75"/>
      <c r="D2" s="75"/>
      <c r="E2" s="30">
        <v>63.24</v>
      </c>
      <c r="H2" s="19"/>
      <c r="I2" s="19" t="s">
        <v>158</v>
      </c>
      <c r="J2" s="19" t="s">
        <v>159</v>
      </c>
      <c r="K2" s="19" t="s">
        <v>160</v>
      </c>
      <c r="L2" s="17" t="s">
        <v>164</v>
      </c>
      <c r="N2" s="34" t="s">
        <v>161</v>
      </c>
      <c r="O2" s="34" t="s">
        <v>163</v>
      </c>
      <c r="P2" s="36"/>
      <c r="Q2" s="36"/>
    </row>
    <row r="3" spans="1:17" ht="19.5">
      <c r="A3" s="76" t="s">
        <v>134</v>
      </c>
      <c r="B3" s="76"/>
      <c r="H3" s="18" t="s">
        <v>135</v>
      </c>
      <c r="I3" s="39">
        <v>50.92</v>
      </c>
      <c r="J3" s="55">
        <f>I3*$E$8</f>
        <v>51.70738474878366</v>
      </c>
      <c r="K3" s="44">
        <v>51.70738474878366</v>
      </c>
      <c r="L3" s="56">
        <v>51</v>
      </c>
      <c r="N3" s="37">
        <v>51</v>
      </c>
      <c r="O3" s="32">
        <v>0</v>
      </c>
      <c r="P3" s="35"/>
      <c r="Q3" s="32"/>
    </row>
    <row r="4" spans="1:17" ht="19.5">
      <c r="A4" s="17" t="s">
        <v>135</v>
      </c>
      <c r="B4" s="22">
        <v>62.32</v>
      </c>
      <c r="H4" s="18" t="s">
        <v>136</v>
      </c>
      <c r="I4" s="39">
        <v>56.21</v>
      </c>
      <c r="J4" s="44">
        <f t="shared" ref="J4:J22" si="0">I4*$E$8</f>
        <v>57.079184931836792</v>
      </c>
      <c r="K4" s="44">
        <v>51.819085697769644</v>
      </c>
      <c r="L4" s="56">
        <v>52</v>
      </c>
      <c r="N4" s="37">
        <v>52</v>
      </c>
      <c r="O4" s="32">
        <v>2</v>
      </c>
      <c r="P4" s="35"/>
      <c r="Q4" s="32"/>
    </row>
    <row r="5" spans="1:17" ht="19.5">
      <c r="A5" s="17" t="s">
        <v>136</v>
      </c>
      <c r="B5" s="22">
        <v>63.45</v>
      </c>
      <c r="H5" s="18" t="s">
        <v>137</v>
      </c>
      <c r="I5" s="39">
        <v>51.03</v>
      </c>
      <c r="J5" s="55">
        <f t="shared" si="0"/>
        <v>51.819085697769644</v>
      </c>
      <c r="K5" s="58">
        <v>56.276969025482927</v>
      </c>
      <c r="L5" s="56">
        <v>53</v>
      </c>
      <c r="N5" s="37">
        <v>53</v>
      </c>
      <c r="O5" s="32">
        <v>0</v>
      </c>
      <c r="P5" s="35"/>
      <c r="Q5" s="32"/>
    </row>
    <row r="6" spans="1:17" ht="19.5">
      <c r="A6" s="17" t="s">
        <v>137</v>
      </c>
      <c r="B6" s="22">
        <v>64.739999999999995</v>
      </c>
      <c r="H6" s="18" t="s">
        <v>138</v>
      </c>
      <c r="I6" s="39">
        <v>55.42</v>
      </c>
      <c r="J6" s="44">
        <f t="shared" si="0"/>
        <v>56.276969025482927</v>
      </c>
      <c r="K6" s="58">
        <v>56.987793246302807</v>
      </c>
      <c r="L6" s="56">
        <v>54</v>
      </c>
      <c r="N6" s="37">
        <v>54</v>
      </c>
      <c r="O6" s="32">
        <v>0</v>
      </c>
      <c r="P6" s="35"/>
      <c r="Q6" s="32"/>
    </row>
    <row r="7" spans="1:17" ht="19.5">
      <c r="A7" s="17" t="s">
        <v>138</v>
      </c>
      <c r="B7" s="22">
        <v>62.45</v>
      </c>
      <c r="H7" s="18" t="s">
        <v>139</v>
      </c>
      <c r="I7" s="39">
        <v>58.56</v>
      </c>
      <c r="J7" s="44">
        <f t="shared" si="0"/>
        <v>59.46552338744641</v>
      </c>
      <c r="K7" s="58">
        <v>57.079184931836792</v>
      </c>
      <c r="L7" s="56">
        <v>55</v>
      </c>
      <c r="N7" s="37">
        <v>55</v>
      </c>
      <c r="O7" s="32">
        <v>0</v>
      </c>
      <c r="P7" s="35"/>
      <c r="Q7" s="32"/>
    </row>
    <row r="8" spans="1:17" ht="19.5">
      <c r="A8" s="17" t="s">
        <v>139</v>
      </c>
      <c r="B8" s="22">
        <v>61.67</v>
      </c>
      <c r="D8" s="30" t="s">
        <v>145</v>
      </c>
      <c r="E8" s="31">
        <f>E2/B14</f>
        <v>1.0154631725998362</v>
      </c>
      <c r="H8" s="18" t="s">
        <v>140</v>
      </c>
      <c r="I8" s="39">
        <v>62.32</v>
      </c>
      <c r="J8" s="44">
        <f t="shared" si="0"/>
        <v>63.283664916421792</v>
      </c>
      <c r="K8" s="58">
        <v>57.211195144274775</v>
      </c>
      <c r="L8" s="56">
        <v>56</v>
      </c>
      <c r="N8" s="37">
        <v>56</v>
      </c>
      <c r="O8" s="32">
        <v>0</v>
      </c>
      <c r="P8" s="35"/>
      <c r="Q8" s="32"/>
    </row>
    <row r="9" spans="1:17" ht="19.5">
      <c r="A9" s="17" t="s">
        <v>140</v>
      </c>
      <c r="B9" s="22">
        <v>60.3</v>
      </c>
      <c r="H9" s="18" t="s">
        <v>141</v>
      </c>
      <c r="I9" s="39">
        <v>59.36</v>
      </c>
      <c r="J9" s="44">
        <f t="shared" si="0"/>
        <v>60.277893925526278</v>
      </c>
      <c r="K9" s="58">
        <v>57.393978515342745</v>
      </c>
      <c r="L9" s="56">
        <v>57</v>
      </c>
      <c r="N9" s="37">
        <v>57</v>
      </c>
      <c r="O9" s="32">
        <v>2</v>
      </c>
      <c r="P9" s="35"/>
      <c r="Q9" s="32"/>
    </row>
    <row r="10" spans="1:17" ht="19.5">
      <c r="A10" s="17" t="s">
        <v>141</v>
      </c>
      <c r="B10" s="22">
        <v>60.29</v>
      </c>
      <c r="H10" s="18" t="s">
        <v>142</v>
      </c>
      <c r="I10" s="39">
        <v>56.52</v>
      </c>
      <c r="J10" s="44">
        <f t="shared" si="0"/>
        <v>57.393978515342745</v>
      </c>
      <c r="K10" s="58">
        <v>58.114957367888621</v>
      </c>
      <c r="L10" s="56">
        <v>58</v>
      </c>
      <c r="N10" s="37">
        <v>58</v>
      </c>
      <c r="O10" s="32">
        <v>3</v>
      </c>
      <c r="P10" s="35"/>
      <c r="Q10" s="32"/>
    </row>
    <row r="11" spans="1:17" ht="19.5">
      <c r="A11" s="17" t="s">
        <v>142</v>
      </c>
      <c r="B11" s="22">
        <v>62.16</v>
      </c>
      <c r="H11" s="18" t="s">
        <v>143</v>
      </c>
      <c r="I11" s="39">
        <v>57.23</v>
      </c>
      <c r="J11" s="44">
        <f t="shared" si="0"/>
        <v>58.114957367888621</v>
      </c>
      <c r="K11" s="58">
        <v>58.155575894792619</v>
      </c>
      <c r="L11" s="56">
        <v>59</v>
      </c>
      <c r="N11" s="37">
        <v>59</v>
      </c>
      <c r="O11" s="32">
        <v>3</v>
      </c>
      <c r="P11" s="35"/>
      <c r="Q11" s="32"/>
    </row>
    <row r="12" spans="1:17" ht="19.5">
      <c r="A12" s="17" t="s">
        <v>143</v>
      </c>
      <c r="B12" s="22">
        <v>63.03</v>
      </c>
      <c r="H12" s="18" t="s">
        <v>144</v>
      </c>
      <c r="I12" s="39">
        <v>58.12</v>
      </c>
      <c r="J12" s="44">
        <f t="shared" si="0"/>
        <v>59.018719591502474</v>
      </c>
      <c r="K12" s="58">
        <v>58.815626956982513</v>
      </c>
      <c r="L12" s="56">
        <v>60</v>
      </c>
      <c r="N12" s="37">
        <v>60</v>
      </c>
      <c r="O12" s="32">
        <v>4</v>
      </c>
      <c r="P12" s="35"/>
      <c r="Q12" s="32"/>
    </row>
    <row r="13" spans="1:17" ht="19.5">
      <c r="A13" s="17" t="s">
        <v>144</v>
      </c>
      <c r="B13" s="22">
        <v>62.36</v>
      </c>
      <c r="H13" s="18" t="s">
        <v>147</v>
      </c>
      <c r="I13" s="39">
        <v>59.34</v>
      </c>
      <c r="J13" s="44">
        <f t="shared" si="0"/>
        <v>60.257584662074287</v>
      </c>
      <c r="K13" s="59">
        <v>59.018719591502474</v>
      </c>
      <c r="L13" s="56">
        <v>61</v>
      </c>
      <c r="N13" s="37">
        <v>61</v>
      </c>
      <c r="O13" s="32">
        <v>3</v>
      </c>
      <c r="P13" s="35"/>
      <c r="Q13" s="32"/>
    </row>
    <row r="14" spans="1:17" ht="19.5">
      <c r="A14" s="30" t="s">
        <v>121</v>
      </c>
      <c r="B14" s="31">
        <f>AVERAGE(B4:B13)</f>
        <v>62.277000000000001</v>
      </c>
      <c r="H14" s="18" t="s">
        <v>148</v>
      </c>
      <c r="I14" s="39">
        <v>65.34</v>
      </c>
      <c r="J14" s="55">
        <f t="shared" si="0"/>
        <v>66.350363697673302</v>
      </c>
      <c r="K14" s="59">
        <v>59.262430752926441</v>
      </c>
      <c r="L14" s="56">
        <v>62</v>
      </c>
      <c r="N14" s="37">
        <v>62</v>
      </c>
      <c r="O14" s="32">
        <v>0</v>
      </c>
      <c r="P14" s="35"/>
      <c r="Q14" s="32"/>
    </row>
    <row r="15" spans="1:17" ht="19.5">
      <c r="H15" s="18" t="s">
        <v>149</v>
      </c>
      <c r="I15" s="39">
        <v>65.23</v>
      </c>
      <c r="J15" s="55">
        <f t="shared" si="0"/>
        <v>66.238662748687318</v>
      </c>
      <c r="K15" s="59">
        <v>59.46552338744641</v>
      </c>
      <c r="L15" s="56">
        <v>63</v>
      </c>
      <c r="N15" s="37">
        <v>63</v>
      </c>
      <c r="O15" s="32">
        <v>0</v>
      </c>
      <c r="P15" s="35"/>
      <c r="Q15" s="32"/>
    </row>
    <row r="16" spans="1:17" ht="19.5">
      <c r="H16" s="18" t="s">
        <v>150</v>
      </c>
      <c r="I16" s="39">
        <v>56.12</v>
      </c>
      <c r="J16" s="44">
        <f t="shared" si="0"/>
        <v>56.987793246302807</v>
      </c>
      <c r="K16" s="59">
        <v>59.871708656486341</v>
      </c>
      <c r="L16" s="56">
        <v>64</v>
      </c>
      <c r="N16" s="37">
        <v>64</v>
      </c>
      <c r="O16" s="32">
        <v>1</v>
      </c>
      <c r="P16" s="35"/>
      <c r="Q16" s="32"/>
    </row>
    <row r="17" spans="8:15" ht="19.5">
      <c r="H17" s="18" t="s">
        <v>151</v>
      </c>
      <c r="I17" s="39">
        <v>58.96</v>
      </c>
      <c r="J17" s="44">
        <f t="shared" si="0"/>
        <v>59.871708656486341</v>
      </c>
      <c r="K17" s="59">
        <v>60.257584662074287</v>
      </c>
      <c r="L17" s="56">
        <v>65</v>
      </c>
      <c r="N17" s="37">
        <v>65</v>
      </c>
      <c r="O17" s="32">
        <v>0</v>
      </c>
    </row>
    <row r="18" spans="8:15" ht="19.5">
      <c r="H18" s="18" t="s">
        <v>152</v>
      </c>
      <c r="I18" s="39">
        <v>57.27</v>
      </c>
      <c r="J18" s="44">
        <f t="shared" si="0"/>
        <v>58.155575894792619</v>
      </c>
      <c r="K18" s="59">
        <v>60.277893925526278</v>
      </c>
      <c r="L18" s="56">
        <v>66</v>
      </c>
      <c r="N18" s="37">
        <v>66</v>
      </c>
      <c r="O18" s="32">
        <v>0</v>
      </c>
    </row>
    <row r="19" spans="8:15" ht="19.5">
      <c r="H19" s="18" t="s">
        <v>153</v>
      </c>
      <c r="I19" s="39">
        <v>56.34</v>
      </c>
      <c r="J19" s="44">
        <f t="shared" si="0"/>
        <v>57.211195144274775</v>
      </c>
      <c r="K19" s="59">
        <v>60.54191435040223</v>
      </c>
      <c r="L19" s="56">
        <v>67</v>
      </c>
      <c r="N19" s="37">
        <v>67</v>
      </c>
      <c r="O19" s="32">
        <v>2</v>
      </c>
    </row>
    <row r="20" spans="8:15" ht="20.25" thickBot="1">
      <c r="H20" s="18" t="s">
        <v>154</v>
      </c>
      <c r="I20" s="39">
        <v>57.92</v>
      </c>
      <c r="J20" s="44">
        <f t="shared" si="0"/>
        <v>58.815626956982513</v>
      </c>
      <c r="K20" s="59">
        <v>63.283664916421792</v>
      </c>
      <c r="L20" s="56"/>
      <c r="N20" s="33" t="s">
        <v>162</v>
      </c>
      <c r="O20" s="33">
        <v>0</v>
      </c>
    </row>
    <row r="21" spans="8:15" ht="19.5">
      <c r="H21" s="18" t="s">
        <v>155</v>
      </c>
      <c r="I21" s="39">
        <v>58.36</v>
      </c>
      <c r="J21" s="44">
        <f t="shared" si="0"/>
        <v>59.262430752926441</v>
      </c>
      <c r="K21" s="57">
        <v>66.238662748687318</v>
      </c>
      <c r="L21" s="56"/>
    </row>
    <row r="22" spans="8:15" ht="19.5">
      <c r="H22" s="18" t="s">
        <v>156</v>
      </c>
      <c r="I22" s="39">
        <v>59.62</v>
      </c>
      <c r="J22" s="44">
        <f t="shared" si="0"/>
        <v>60.54191435040223</v>
      </c>
      <c r="K22" s="57">
        <v>66.350363697673302</v>
      </c>
      <c r="L22" s="56"/>
    </row>
    <row r="23" spans="8:15" ht="19.5">
      <c r="H23" s="21" t="s">
        <v>121</v>
      </c>
      <c r="I23" s="60"/>
      <c r="J23" s="60">
        <f>AVERAGE(J3:J22)</f>
        <v>58.906510910930209</v>
      </c>
      <c r="K23" s="61">
        <f>AVERAGE(K13:K22)</f>
        <v>61.456846668914679</v>
      </c>
      <c r="L23" s="56"/>
    </row>
    <row r="25" spans="8:15">
      <c r="J25" s="31">
        <f>AVERAGE(K5:K20)</f>
        <v>58.875920082855622</v>
      </c>
    </row>
    <row r="28" spans="8:15">
      <c r="H28" s="17" t="s">
        <v>167</v>
      </c>
      <c r="I28" s="22">
        <f>AVERAGE(J3:J22)</f>
        <v>58.906510910930209</v>
      </c>
    </row>
    <row r="29" spans="8:15">
      <c r="H29" s="17" t="s">
        <v>165</v>
      </c>
      <c r="I29" s="22">
        <f>MEDIAN(J3:J22)</f>
        <v>58.917173274242494</v>
      </c>
    </row>
    <row r="30" spans="8:15">
      <c r="H30" s="17" t="s">
        <v>166</v>
      </c>
      <c r="I30" s="17">
        <v>60</v>
      </c>
    </row>
  </sheetData>
  <sortState ref="N4:N19">
    <sortCondition ref="N3"/>
  </sortState>
  <mergeCells count="5">
    <mergeCell ref="A2:D2"/>
    <mergeCell ref="A3:B3"/>
    <mergeCell ref="M1:N1"/>
    <mergeCell ref="O1:P1"/>
    <mergeCell ref="I1:K1"/>
  </mergeCells>
  <pageMargins left="0.7" right="0.7" top="0.75" bottom="0.75" header="0.3" footer="0.3"/>
  <pageSetup paperSize="9" orientation="portrait" horizontalDpi="300" verticalDpi="300" r:id="rId1"/>
  <ignoredErrors>
    <ignoredError sqref="K23" formulaRange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>
      <selection activeCell="O9" sqref="O8:O9"/>
    </sheetView>
  </sheetViews>
  <sheetFormatPr defaultRowHeight="15.75"/>
  <cols>
    <col min="1" max="1" width="11.5703125" style="17" customWidth="1"/>
    <col min="2" max="2" width="11" style="17" customWidth="1"/>
    <col min="3" max="4" width="9.140625" style="17"/>
    <col min="5" max="5" width="9.5703125" style="7" bestFit="1" customWidth="1"/>
    <col min="6" max="6" width="9.140625" style="7"/>
    <col min="7" max="7" width="10.85546875" style="17" customWidth="1"/>
    <col min="8" max="8" width="11.5703125" style="17" bestFit="1" customWidth="1"/>
    <col min="9" max="9" width="11.42578125" style="17" bestFit="1" customWidth="1"/>
    <col min="10" max="16384" width="9.140625" style="17"/>
  </cols>
  <sheetData>
    <row r="1" spans="1:9">
      <c r="A1" s="29" t="s">
        <v>123</v>
      </c>
      <c r="B1" s="29"/>
      <c r="C1" s="29"/>
    </row>
    <row r="3" spans="1:9">
      <c r="A3" s="14" t="s">
        <v>106</v>
      </c>
      <c r="B3" s="14" t="s">
        <v>78</v>
      </c>
      <c r="C3" s="14" t="s">
        <v>77</v>
      </c>
      <c r="D3" s="14" t="s">
        <v>107</v>
      </c>
      <c r="E3" s="14" t="s">
        <v>108</v>
      </c>
      <c r="F3" s="14" t="s">
        <v>113</v>
      </c>
      <c r="G3" s="14" t="s">
        <v>114</v>
      </c>
      <c r="H3" s="14" t="s">
        <v>116</v>
      </c>
      <c r="I3" s="27" t="s">
        <v>168</v>
      </c>
    </row>
    <row r="4" spans="1:9" ht="19.5">
      <c r="A4" s="4" t="s">
        <v>84</v>
      </c>
      <c r="B4" s="4" t="s">
        <v>112</v>
      </c>
      <c r="C4" s="4" t="s">
        <v>21</v>
      </c>
      <c r="D4" s="4" t="s">
        <v>109</v>
      </c>
      <c r="E4" s="4" t="s">
        <v>110</v>
      </c>
      <c r="F4" s="4" t="s">
        <v>111</v>
      </c>
      <c r="G4" s="4" t="s">
        <v>115</v>
      </c>
      <c r="H4" s="4" t="s">
        <v>117</v>
      </c>
      <c r="I4" s="28" t="s">
        <v>172</v>
      </c>
    </row>
    <row r="5" spans="1:9" ht="19.5">
      <c r="A5" s="39" t="s">
        <v>118</v>
      </c>
      <c r="B5" s="39">
        <v>157.19999999999999</v>
      </c>
      <c r="C5" s="39">
        <v>63.1</v>
      </c>
      <c r="D5" s="40">
        <f>(PI()/4000)*C5*C5*B5</f>
        <v>491.58785131056453</v>
      </c>
      <c r="E5" s="39">
        <v>1435.4</v>
      </c>
      <c r="F5" s="39">
        <v>1505.6</v>
      </c>
      <c r="G5" s="39">
        <f>(F5-E5)/1</f>
        <v>70.199999999999818</v>
      </c>
      <c r="H5" s="40">
        <f>G5*100/D5</f>
        <v>14.280255261159905</v>
      </c>
      <c r="I5" s="40">
        <f>(E5/D5)*9.81</f>
        <v>28.644471100047681</v>
      </c>
    </row>
    <row r="6" spans="1:9" ht="19.5">
      <c r="A6" s="39" t="s">
        <v>119</v>
      </c>
      <c r="B6" s="39">
        <v>158.30000000000001</v>
      </c>
      <c r="C6" s="39">
        <v>63.1</v>
      </c>
      <c r="D6" s="40">
        <f t="shared" ref="D6:D7" si="0">(PI()/4000)*C6*C6*B6</f>
        <v>495.02771541006598</v>
      </c>
      <c r="E6" s="39">
        <v>1442.3</v>
      </c>
      <c r="F6" s="39">
        <v>1518.9</v>
      </c>
      <c r="G6" s="39">
        <f t="shared" ref="G6:G7" si="1">(F6-E6)/1</f>
        <v>76.600000000000136</v>
      </c>
      <c r="H6" s="40">
        <f t="shared" ref="H6:H7" si="2">G6*100/D6</f>
        <v>15.473881080889988</v>
      </c>
      <c r="I6" s="40">
        <f t="shared" ref="I6:I7" si="3">(E6/D6)*9.81</f>
        <v>28.582163300249615</v>
      </c>
    </row>
    <row r="7" spans="1:9" ht="19.5">
      <c r="A7" s="39" t="s">
        <v>120</v>
      </c>
      <c r="B7" s="39">
        <v>160.1</v>
      </c>
      <c r="C7" s="39">
        <v>63.1</v>
      </c>
      <c r="D7" s="40">
        <f t="shared" si="0"/>
        <v>500.65658393652279</v>
      </c>
      <c r="E7" s="39">
        <v>1465.1</v>
      </c>
      <c r="F7" s="39">
        <v>1535.2</v>
      </c>
      <c r="G7" s="39">
        <f t="shared" si="1"/>
        <v>70.100000000000136</v>
      </c>
      <c r="H7" s="40">
        <f t="shared" si="2"/>
        <v>14.001613530940396</v>
      </c>
      <c r="I7" s="40">
        <f t="shared" si="3"/>
        <v>28.707564149046078</v>
      </c>
    </row>
    <row r="8" spans="1:9" ht="19.5">
      <c r="A8" s="4" t="s">
        <v>121</v>
      </c>
      <c r="B8" s="4"/>
      <c r="C8" s="4"/>
      <c r="D8" s="4"/>
      <c r="E8" s="4"/>
      <c r="F8" s="4"/>
      <c r="G8" s="4"/>
      <c r="H8" s="42">
        <f>(H5+H6+H7)/3</f>
        <v>14.58524995766343</v>
      </c>
      <c r="I8" s="42">
        <f>(I5+I6+I7)/3</f>
        <v>28.644732849781125</v>
      </c>
    </row>
    <row r="11" spans="1:9">
      <c r="A11" s="29" t="s">
        <v>122</v>
      </c>
    </row>
    <row r="13" spans="1:9">
      <c r="A13" s="27"/>
      <c r="B13" s="77" t="s">
        <v>127</v>
      </c>
      <c r="C13" s="77"/>
      <c r="D13" s="77"/>
      <c r="E13" s="14"/>
      <c r="F13" s="14"/>
      <c r="G13" s="27"/>
      <c r="H13" s="27"/>
    </row>
    <row r="14" spans="1:9">
      <c r="A14" s="18" t="s">
        <v>106</v>
      </c>
      <c r="B14" s="26" t="s">
        <v>124</v>
      </c>
      <c r="C14" s="26" t="s">
        <v>125</v>
      </c>
      <c r="D14" s="26" t="s">
        <v>126</v>
      </c>
      <c r="E14" s="26" t="s">
        <v>132</v>
      </c>
      <c r="F14" s="26" t="s">
        <v>114</v>
      </c>
      <c r="G14" s="26" t="s">
        <v>116</v>
      </c>
      <c r="H14" s="18" t="s">
        <v>168</v>
      </c>
    </row>
    <row r="15" spans="1:9" ht="19.5">
      <c r="A15" s="19" t="s">
        <v>84</v>
      </c>
      <c r="B15" s="4" t="s">
        <v>129</v>
      </c>
      <c r="C15" s="4" t="s">
        <v>128</v>
      </c>
      <c r="D15" s="4" t="s">
        <v>110</v>
      </c>
      <c r="E15" s="4" t="s">
        <v>109</v>
      </c>
      <c r="F15" s="4" t="s">
        <v>115</v>
      </c>
      <c r="G15" s="4" t="s">
        <v>117</v>
      </c>
      <c r="H15" s="28" t="s">
        <v>172</v>
      </c>
    </row>
    <row r="16" spans="1:9" ht="19.5">
      <c r="A16" s="41" t="s">
        <v>130</v>
      </c>
      <c r="B16" s="39">
        <v>374.8</v>
      </c>
      <c r="C16" s="39">
        <v>561.20000000000005</v>
      </c>
      <c r="D16" s="39">
        <v>543.20000000000005</v>
      </c>
      <c r="E16" s="39">
        <f>C16-B16</f>
        <v>186.40000000000003</v>
      </c>
      <c r="F16" s="40">
        <f>(C16-D16)/1</f>
        <v>18</v>
      </c>
      <c r="G16" s="40">
        <f>F16*100/E16</f>
        <v>9.6566523605150199</v>
      </c>
      <c r="H16" s="40">
        <f>(D16/E16)*9.81</f>
        <v>28.587939914163087</v>
      </c>
    </row>
    <row r="17" spans="1:8" ht="19.5">
      <c r="A17" s="41" t="s">
        <v>131</v>
      </c>
      <c r="B17" s="39">
        <v>384.2</v>
      </c>
      <c r="C17" s="39">
        <v>579.29999999999995</v>
      </c>
      <c r="D17" s="39">
        <v>563.70000000000005</v>
      </c>
      <c r="E17" s="39">
        <f>C17-B17</f>
        <v>195.09999999999997</v>
      </c>
      <c r="F17" s="39">
        <f>(C17-D17)/1</f>
        <v>15.599999999999909</v>
      </c>
      <c r="G17" s="40">
        <f>F17*100/E17</f>
        <v>7.9958995386980583</v>
      </c>
      <c r="H17" s="40">
        <f>(D17/E17)*9.81</f>
        <v>28.343910814966694</v>
      </c>
    </row>
    <row r="18" spans="1:8" ht="19.5">
      <c r="A18" s="19" t="s">
        <v>121</v>
      </c>
      <c r="B18" s="4"/>
      <c r="C18" s="4"/>
      <c r="D18" s="4"/>
      <c r="E18" s="4"/>
      <c r="F18" s="4"/>
      <c r="G18" s="42">
        <f>(G16+G17)/2</f>
        <v>8.8262759496065399</v>
      </c>
      <c r="H18" s="42">
        <f>(H16+H17)/2</f>
        <v>28.465925364564889</v>
      </c>
    </row>
  </sheetData>
  <mergeCells count="1">
    <mergeCell ref="B13:D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UCS</vt:lpstr>
      <vt:lpstr>Brazil</vt:lpstr>
      <vt:lpstr>Point Load</vt:lpstr>
      <vt:lpstr>Slake dur</vt:lpstr>
      <vt:lpstr>Water content</vt:lpstr>
      <vt:lpstr>triaxial</vt:lpstr>
      <vt:lpstr>Sheet2</vt:lpstr>
      <vt:lpstr>Schmidt</vt:lpstr>
      <vt:lpstr>Density_Porosity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</dc:creator>
  <cp:lastModifiedBy>siva</cp:lastModifiedBy>
  <cp:lastPrinted>2010-01-07T02:57:56Z</cp:lastPrinted>
  <dcterms:created xsi:type="dcterms:W3CDTF">2009-12-09T01:58:41Z</dcterms:created>
  <dcterms:modified xsi:type="dcterms:W3CDTF">2010-12-14T03:34:53Z</dcterms:modified>
</cp:coreProperties>
</file>