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10995" activeTab="0"/>
  </bookViews>
  <sheets>
    <sheet name="Resistance Calcs" sheetId="1" r:id="rId1"/>
    <sheet name="Normalized Curves" sheetId="2" r:id="rId2"/>
    <sheet name="Trajectory" sheetId="3" r:id="rId3"/>
    <sheet name="Notes" sheetId="4" r:id="rId4"/>
  </sheets>
  <definedNames>
    <definedName name="BOC1">'Resistance Calcs'!$F$9</definedName>
    <definedName name="BOC2">'Resistance Calcs'!$F$10</definedName>
    <definedName name="BODfact">'Resistance Calcs'!$F$19</definedName>
    <definedName name="BOForce">'Resistance Calcs'!$F$14</definedName>
    <definedName name="Diam">'Resistance Calcs'!$F$1</definedName>
    <definedName name="FricMin">'Resistance Calcs'!$F$20</definedName>
    <definedName name="Neutral">'Resistance Calcs'!$F$8</definedName>
    <definedName name="Param1">'Resistance Calcs'!$I$17</definedName>
    <definedName name="Param2">'Resistance Calcs'!$J$17</definedName>
    <definedName name="Param3">'Resistance Calcs'!$K$17</definedName>
    <definedName name="Param4">'Resistance Calcs'!$L$17</definedName>
    <definedName name="Param5">'Resistance Calcs'!$M$17</definedName>
    <definedName name="Param6">'Resistance Calcs'!$N$17</definedName>
    <definedName name="PostSlope">'Resistance Calcs'!$F$18</definedName>
    <definedName name="RandSU">'Resistance Calcs'!$B$15</definedName>
    <definedName name="RandWinit">'Resistance Calcs'!$B$16</definedName>
    <definedName name="ResC1">'Resistance Calcs'!$F$11</definedName>
    <definedName name="ResC2">'Resistance Calcs'!$F$12</definedName>
    <definedName name="ResForce">'Resistance Calcs'!$F$15</definedName>
    <definedName name="Slope1">'Resistance Calcs'!$C$3</definedName>
    <definedName name="Slope2">'Resistance Calcs'!$C$4</definedName>
    <definedName name="Su0">'Resistance Calcs'!$B$2</definedName>
    <definedName name="Su1">'Resistance Calcs'!$B$3</definedName>
    <definedName name="SUF">'Resistance Calcs'!$F$6</definedName>
    <definedName name="SUI">'Resistance Calcs'!$F$5</definedName>
    <definedName name="Traj">'Resistance Calcs'!$F$7</definedName>
    <definedName name="Wgt">'Resistance Calcs'!$F$2</definedName>
    <definedName name="Winit">'Resistance Calcs'!$F$3</definedName>
    <definedName name="WNInit">'Resistance Calcs'!$F$13</definedName>
    <definedName name="Wres">'Resistance Calcs'!$F$4</definedName>
    <definedName name="Zneutral">'Resistance Calcs'!$K$2</definedName>
  </definedNames>
  <calcPr fullCalcOnLoad="1"/>
</workbook>
</file>

<file path=xl/comments1.xml><?xml version="1.0" encoding="utf-8"?>
<comments xmlns="http://schemas.openxmlformats.org/spreadsheetml/2006/main">
  <authors>
    <author>Bill McCarron</author>
  </authors>
  <commentList>
    <comment ref="B1" authorId="0">
      <text>
        <r>
          <rPr>
            <b/>
            <sz val="8"/>
            <rFont val="Tahoma"/>
            <family val="0"/>
          </rPr>
          <t>Shear strength must increase monotonically with depth. Only 3 points allowed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Total OD including coating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Buoyant weight per unit length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Normalized embedment z/D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Nuetral normalized weight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Next 4 cells describe breakout and final/residual resistance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Initial normilized weight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Breakout force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Residual force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0"/>
          </rPr>
          <t>Pipe displacement cooresponding to BOForce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0"/>
          </rPr>
          <t>Pipe displacement cooresponding to residual / final force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>Factor used to calculate BODisp = Disp @ Breakout
BODisp=d/D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sz val="8"/>
            <rFont val="Tahoma"/>
            <family val="0"/>
          </rPr>
          <t xml:space="preserve">Factors below are unit conversions, if needed
</t>
        </r>
      </text>
    </comment>
    <comment ref="I16" authorId="0">
      <text>
        <r>
          <rPr>
            <b/>
            <sz val="8"/>
            <rFont val="Tahoma"/>
            <family val="0"/>
          </rPr>
          <t>Factors below are for FE modelling input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Shear strength at final embedment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Shear strength at initial embedment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Normalized weight at final embedment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8"/>
            <rFont val="Tahoma"/>
            <family val="0"/>
          </rPr>
          <t>Final embedment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Intermediate calculation for ResDisp = pipe trajectory, see Fig 9.6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This is slope of trajectory line, 
eg Figure 9.6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Residual Force should not be less than 
FricMin*Wgt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Bill McCarron</author>
  </authors>
  <commentList>
    <comment ref="C1" authorId="0">
      <text>
        <r>
          <rPr>
            <b/>
            <sz val="8"/>
            <rFont val="Tahoma"/>
            <family val="0"/>
          </rPr>
          <t>Eqn 9.6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>Eqn 9.5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<sst xmlns="http://schemas.openxmlformats.org/spreadsheetml/2006/main" count="63" uniqueCount="63">
  <si>
    <t>Diam</t>
  </si>
  <si>
    <t>SUI</t>
  </si>
  <si>
    <t>SUF</t>
  </si>
  <si>
    <t>Wgt</t>
  </si>
  <si>
    <t>Traj</t>
  </si>
  <si>
    <t>Nz1</t>
  </si>
  <si>
    <t>Nz2</t>
  </si>
  <si>
    <t>Slope</t>
  </si>
  <si>
    <t>Zneutral</t>
  </si>
  <si>
    <t>SuInit</t>
  </si>
  <si>
    <t>Winit</t>
  </si>
  <si>
    <t>Wres</t>
  </si>
  <si>
    <t>BOC1</t>
  </si>
  <si>
    <t>BOC2</t>
  </si>
  <si>
    <t>RC1</t>
  </si>
  <si>
    <t>RC2</t>
  </si>
  <si>
    <t>V/DSUI</t>
  </si>
  <si>
    <t>Su1Winit</t>
  </si>
  <si>
    <t>S2equiv</t>
  </si>
  <si>
    <t>Plot Points</t>
  </si>
  <si>
    <t>BOForce</t>
  </si>
  <si>
    <t>ResForce</t>
  </si>
  <si>
    <t>BODisp</t>
  </si>
  <si>
    <t>ResDisp</t>
  </si>
  <si>
    <t>PostSlope</t>
  </si>
  <si>
    <t>Disp</t>
  </si>
  <si>
    <t>Resistance</t>
  </si>
  <si>
    <t>AX Res</t>
  </si>
  <si>
    <t>Ax Mob</t>
  </si>
  <si>
    <t>D1</t>
  </si>
  <si>
    <t>P1</t>
  </si>
  <si>
    <t>D2</t>
  </si>
  <si>
    <t>P2</t>
  </si>
  <si>
    <t>Param1</t>
  </si>
  <si>
    <t>Param2</t>
  </si>
  <si>
    <t>Param3</t>
  </si>
  <si>
    <t>Param4</t>
  </si>
  <si>
    <t>Param5</t>
  </si>
  <si>
    <t>Param6</t>
  </si>
  <si>
    <t>New</t>
  </si>
  <si>
    <t>old</t>
  </si>
  <si>
    <t>xke1</t>
  </si>
  <si>
    <t>fmax1</t>
  </si>
  <si>
    <t>xke2</t>
  </si>
  <si>
    <t>xkp2</t>
  </si>
  <si>
    <t>fmax2a</t>
  </si>
  <si>
    <t>fmax2b</t>
  </si>
  <si>
    <t>Initial Pipe Depth</t>
  </si>
  <si>
    <t>Final Pipe Depth</t>
  </si>
  <si>
    <t>BODfact</t>
  </si>
  <si>
    <t>Unit conv</t>
  </si>
  <si>
    <t xml:space="preserve">Depth </t>
  </si>
  <si>
    <t>Required Input are in YELLOW Cells</t>
  </si>
  <si>
    <t>Calculated values in BLUE Cells</t>
  </si>
  <si>
    <t xml:space="preserve">Su  </t>
  </si>
  <si>
    <t>w (z/D)</t>
  </si>
  <si>
    <t>Breakout Resistance</t>
  </si>
  <si>
    <t>Residual Resistance</t>
  </si>
  <si>
    <t>Fric Min</t>
  </si>
  <si>
    <t>Normalized Vert Wgt = V/Dsu</t>
  </si>
  <si>
    <t>Trajectory</t>
  </si>
  <si>
    <t>Neutral V/DSu</t>
  </si>
  <si>
    <t>Analysis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</si>
</sst>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</numFmts>
  <fonts count="50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169" fontId="0" fillId="34" borderId="0" xfId="0" applyNumberFormat="1" applyFill="1" applyAlignment="1">
      <alignment/>
    </xf>
    <xf numFmtId="2" fontId="0" fillId="0" borderId="0" xfId="0" applyNumberFormat="1" applyAlignment="1">
      <alignment/>
    </xf>
    <xf numFmtId="164" fontId="0" fillId="34" borderId="0" xfId="0" applyNumberFormat="1" applyFill="1" applyAlignment="1">
      <alignment/>
    </xf>
    <xf numFmtId="170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295"/>
          <c:w val="0.91175"/>
          <c:h val="0.90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'Resistance Calcs'!$B$1</c:f>
              <c:strCache>
                <c:ptCount val="1"/>
                <c:pt idx="0">
                  <c:v>Su 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'Resistance Calcs'!$A$2:$A$4</c:f>
              <c:numCache/>
            </c:numRef>
          </c:xVal>
          <c:yVal>
            <c:numRef>
              <c:f>'Resistance Calcs'!$B$2:$B$4</c:f>
              <c:numCache/>
            </c:numRef>
          </c:yVal>
          <c:smooth val="0"/>
        </c:ser>
        <c:ser>
          <c:idx val="1"/>
          <c:order val="1"/>
          <c:tx>
            <c:strRef>
              <c:f>'Resistance Calcs'!$K$9</c:f>
              <c:strCache>
                <c:ptCount val="1"/>
                <c:pt idx="0">
                  <c:v>Initial Pipe Depth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'Resistance Calcs'!$I$9</c:f>
              <c:numCache/>
            </c:numRef>
          </c:xVal>
          <c:yVal>
            <c:numRef>
              <c:f>'Resistance Calcs'!$J$9</c:f>
              <c:numCache/>
            </c:numRef>
          </c:yVal>
          <c:smooth val="0"/>
        </c:ser>
        <c:ser>
          <c:idx val="2"/>
          <c:order val="2"/>
          <c:tx>
            <c:strRef>
              <c:f>'Resistance Calcs'!$K$10</c:f>
              <c:strCache>
                <c:ptCount val="1"/>
                <c:pt idx="0">
                  <c:v>Final Pipe Depth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'Resistance Calcs'!$I$10</c:f>
              <c:numCache/>
            </c:numRef>
          </c:xVal>
          <c:yVal>
            <c:numRef>
              <c:f>'Resistance Calcs'!$J$10</c:f>
              <c:numCache/>
            </c:numRef>
          </c:yVal>
          <c:smooth val="0"/>
        </c:ser>
        <c:axId val="30454552"/>
        <c:axId val="15878041"/>
      </c:scatterChart>
      <c:valAx>
        <c:axId val="30454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8041"/>
        <c:crosses val="autoZero"/>
        <c:crossBetween val="midCat"/>
        <c:dispUnits/>
      </c:valAx>
      <c:valAx>
        <c:axId val="1587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Soil Strength Su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45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75"/>
          <c:y val="0.57525"/>
          <c:w val="0.362"/>
          <c:h val="0.2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265"/>
          <c:w val="0.879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'Resistance Calcs'!$B$8</c:f>
              <c:strCache>
                <c:ptCount val="1"/>
                <c:pt idx="0">
                  <c:v>Resistance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'Resistance Calcs'!$A$9:$A$12</c:f>
              <c:numCache/>
            </c:numRef>
          </c:xVal>
          <c:yVal>
            <c:numRef>
              <c:f>'Resistance Calcs'!$B$9:$B$12</c:f>
              <c:numCache/>
            </c:numRef>
          </c:yVal>
          <c:smooth val="0"/>
        </c:ser>
        <c:axId val="39826506"/>
        <c:axId val="5341739"/>
      </c:scatterChart>
      <c:valAx>
        <c:axId val="3982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(L)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1739"/>
        <c:crosses val="autoZero"/>
        <c:crossBetween val="midCat"/>
        <c:dispUnits/>
        <c:majorUnit val="2"/>
      </c:valAx>
      <c:valAx>
        <c:axId val="5341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Resistance (F/L)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65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375"/>
          <c:w val="0.90275"/>
          <c:h val="0.8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'Normalized Curves'!$B$1</c:f>
              <c:strCache>
                <c:ptCount val="1"/>
                <c:pt idx="0">
                  <c:v>Breakout Resistance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'Normalized Curves'!$A$2:$A$23</c:f>
              <c:numCache/>
            </c:numRef>
          </c:xVal>
          <c:yVal>
            <c:numRef>
              <c:f>'Normalized Curves'!$B$2:$B$23</c:f>
              <c:numCache/>
            </c:numRef>
          </c:yVal>
          <c:smooth val="0"/>
        </c:ser>
        <c:ser>
          <c:idx val="1"/>
          <c:order val="1"/>
          <c:tx>
            <c:strRef>
              <c:f>'Normalized Curves'!$C$1</c:f>
              <c:strCache>
                <c:ptCount val="1"/>
                <c:pt idx="0">
                  <c:v>Residual Resistance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'Normalized Curves'!$A$2:$A$23</c:f>
              <c:numCache/>
            </c:numRef>
          </c:xVal>
          <c:yVal>
            <c:numRef>
              <c:f>'Normalized Curves'!$C$2:$C$23</c:f>
              <c:numCache/>
            </c:numRef>
          </c:yVal>
          <c:smooth val="0"/>
        </c:ser>
        <c:axId val="60418620"/>
        <c:axId val="7722365"/>
      </c:scatterChart>
      <c:valAx>
        <c:axId val="6041862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Embedment, z/D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22365"/>
        <c:crosses val="autoZero"/>
        <c:crossBetween val="midCat"/>
        <c:dispUnits/>
      </c:valAx>
      <c:valAx>
        <c:axId val="772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Resistance, H/DSu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186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07775"/>
          <c:w val="0.40925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1675"/>
          <c:w val="0.68225"/>
          <c:h val="0.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Trajectory!$B$1</c:f>
              <c:strCache>
                <c:ptCount val="1"/>
                <c:pt idx="0">
                  <c:v>Trajectory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Trajectory!$A$2:$A$4</c:f>
              <c:numCache/>
            </c:numRef>
          </c:xVal>
          <c:yVal>
            <c:numRef>
              <c:f>Trajectory!$B$2:$B$4</c:f>
              <c:numCache/>
            </c:numRef>
          </c:yVal>
          <c:smooth val="0"/>
        </c:ser>
        <c:ser>
          <c:idx val="1"/>
          <c:order val="1"/>
          <c:tx>
            <c:strRef>
              <c:f>Trajectory!$L$1</c:f>
              <c:strCache>
                <c:ptCount val="1"/>
                <c:pt idx="0">
                  <c:v>Analysis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Trajectory!$K$2</c:f>
              <c:numCache/>
            </c:numRef>
          </c:xVal>
          <c:yVal>
            <c:numRef>
              <c:f>Trajectory!$L$2</c:f>
              <c:numCache/>
            </c:numRef>
          </c:yVal>
          <c:smooth val="0"/>
        </c:ser>
        <c:axId val="42851566"/>
        <c:axId val="19351951"/>
      </c:scatterChart>
      <c:valAx>
        <c:axId val="42851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Initial  V/DSu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1951"/>
        <c:crosses val="autoZero"/>
        <c:crossBetween val="midCat"/>
        <c:dispUnits/>
        <c:majorUnit val="0.5"/>
      </c:valAx>
      <c:valAx>
        <c:axId val="19351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Pipe Trajectory dv/dh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515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391"/>
          <c:w val="0.2207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21</xdr:row>
      <xdr:rowOff>38100</xdr:rowOff>
    </xdr:from>
    <xdr:to>
      <xdr:col>13</xdr:col>
      <xdr:colOff>561975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4772025" y="3438525"/>
        <a:ext cx="45053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28575</xdr:rowOff>
    </xdr:from>
    <xdr:to>
      <xdr:col>6</xdr:col>
      <xdr:colOff>266700</xdr:colOff>
      <xdr:row>41</xdr:row>
      <xdr:rowOff>104775</xdr:rowOff>
    </xdr:to>
    <xdr:graphicFrame>
      <xdr:nvGraphicFramePr>
        <xdr:cNvPr id="2" name="Chart 2"/>
        <xdr:cNvGraphicFramePr/>
      </xdr:nvGraphicFramePr>
      <xdr:xfrm>
        <a:off x="66675" y="3429000"/>
        <a:ext cx="44291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9</xdr:row>
      <xdr:rowOff>76200</xdr:rowOff>
    </xdr:from>
    <xdr:to>
      <xdr:col>13</xdr:col>
      <xdr:colOff>171450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705100" y="1533525"/>
        <a:ext cx="5391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133350</xdr:rowOff>
    </xdr:from>
    <xdr:to>
      <xdr:col>7</xdr:col>
      <xdr:colOff>76200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33350" y="781050"/>
        <a:ext cx="53911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9</xdr:col>
      <xdr:colOff>104775</xdr:colOff>
      <xdr:row>16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333375"/>
          <a:ext cx="543877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is difficult to determine shallow soil shear strength with accuracy in field conditions. Consider characteristic values +/-20%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BOC1 and RC1 values will depend on soil softening &amp; hardening and soil-pipe friction. You might vary these from 2 to 3.5 and 2.5 to 3.5, respectively.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It's difficult to say what the combined effect of uncertainty in soil strength and soil resistance to pipe motion is, but again you should at least address a +/-20% range in the soil resistance to pipe displacement (breakout and final), especially in light of uncertainty in the initial embedment.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application is for a bi-linear undrained cohesive soil strength profile. The soil strength must be monotonically increasing with depth. The user should verify the results.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3.57421875" style="0" customWidth="1"/>
    <col min="5" max="5" width="13.28125" style="0" customWidth="1"/>
    <col min="12" max="12" width="12.421875" style="0" bestFit="1" customWidth="1"/>
    <col min="14" max="14" width="12.421875" style="0" bestFit="1" customWidth="1"/>
  </cols>
  <sheetData>
    <row r="1" spans="1:15" ht="12.75">
      <c r="A1" t="s">
        <v>51</v>
      </c>
      <c r="B1" t="s">
        <v>54</v>
      </c>
      <c r="C1" t="s">
        <v>7</v>
      </c>
      <c r="E1" t="s">
        <v>0</v>
      </c>
      <c r="F1" s="1">
        <f>12.625/12</f>
        <v>1.0520833333333333</v>
      </c>
      <c r="I1" t="s">
        <v>5</v>
      </c>
      <c r="J1" t="s">
        <v>6</v>
      </c>
      <c r="K1" t="s">
        <v>8</v>
      </c>
      <c r="M1" s="1" t="s">
        <v>52</v>
      </c>
      <c r="N1" s="1"/>
      <c r="O1" s="1"/>
    </row>
    <row r="2" spans="1:15" ht="12.75">
      <c r="A2" s="18">
        <v>0</v>
      </c>
      <c r="B2" s="1">
        <v>10</v>
      </c>
      <c r="E2" t="s">
        <v>3</v>
      </c>
      <c r="F2" s="1">
        <v>45</v>
      </c>
      <c r="I2" s="2">
        <f>(SUF-Su0)/Slope1</f>
        <v>0.10001833516685003</v>
      </c>
      <c r="J2" s="2">
        <f>(SUF-Su1+A3*Slope2)/Slope2</f>
        <v>-0.6331133113311329</v>
      </c>
      <c r="K2" s="2">
        <f>IF(SUF&lt;Su1,I2,J2)</f>
        <v>0.10001833516685003</v>
      </c>
      <c r="M2" s="2" t="s">
        <v>53</v>
      </c>
      <c r="N2" s="2"/>
      <c r="O2" s="2"/>
    </row>
    <row r="3" spans="1:6" ht="12.75">
      <c r="A3" s="18">
        <f>2/12</f>
        <v>0.16666666666666666</v>
      </c>
      <c r="B3" s="6">
        <v>30</v>
      </c>
      <c r="C3" s="2">
        <f>(Su1-Su0)/(A3-A2)</f>
        <v>120</v>
      </c>
      <c r="E3" t="s">
        <v>10</v>
      </c>
      <c r="F3" s="6">
        <v>0.33</v>
      </c>
    </row>
    <row r="4" spans="1:6" ht="12.75">
      <c r="A4" s="18">
        <f>32/12</f>
        <v>2.6666666666666665</v>
      </c>
      <c r="B4" s="1">
        <v>55</v>
      </c>
      <c r="C4" s="2">
        <f>(B4-Su1)/(A4-A3)</f>
        <v>10</v>
      </c>
      <c r="E4" t="s">
        <v>11</v>
      </c>
      <c r="F4" s="2">
        <f>K2/Diam</f>
        <v>0.09506693243581786</v>
      </c>
    </row>
    <row r="5" spans="5:11" ht="12.75">
      <c r="E5" t="s">
        <v>1</v>
      </c>
      <c r="F5" s="2">
        <f>K6</f>
        <v>31.805208333333333</v>
      </c>
      <c r="I5" t="s">
        <v>17</v>
      </c>
      <c r="J5" t="s">
        <v>18</v>
      </c>
      <c r="K5" t="s">
        <v>9</v>
      </c>
    </row>
    <row r="6" spans="5:11" ht="12.75">
      <c r="E6" t="s">
        <v>2</v>
      </c>
      <c r="F6" s="2">
        <f>Wgt/(Neutral*Diam)</f>
        <v>22.002200220022004</v>
      </c>
      <c r="I6" s="2">
        <f>Su0+Slope1*Diam*Winit</f>
        <v>51.662499999999994</v>
      </c>
      <c r="J6" s="2">
        <f>Su1-A3*Slope2</f>
        <v>28.333333333333332</v>
      </c>
      <c r="K6" s="2">
        <f>IF(Winit*Diam&lt;A3,I6,J6+Winit*Diam*Slope2)</f>
        <v>31.805208333333333</v>
      </c>
    </row>
    <row r="7" spans="5:6" ht="12.75">
      <c r="E7" t="s">
        <v>4</v>
      </c>
      <c r="F7" s="1">
        <v>0.12857</v>
      </c>
    </row>
    <row r="8" spans="1:9" ht="12.75">
      <c r="A8" t="s">
        <v>25</v>
      </c>
      <c r="B8" t="s">
        <v>26</v>
      </c>
      <c r="E8" t="s">
        <v>61</v>
      </c>
      <c r="F8" s="1">
        <v>1.944</v>
      </c>
      <c r="I8" t="s">
        <v>19</v>
      </c>
    </row>
    <row r="9" spans="1:11" ht="12.75">
      <c r="A9" s="15">
        <v>0</v>
      </c>
      <c r="B9" s="17">
        <v>0</v>
      </c>
      <c r="E9" t="s">
        <v>12</v>
      </c>
      <c r="F9" s="1">
        <v>2.85</v>
      </c>
      <c r="I9" s="15">
        <f>Diam*Winit</f>
        <v>0.3471875</v>
      </c>
      <c r="J9" s="2">
        <f>SUI</f>
        <v>31.805208333333333</v>
      </c>
      <c r="K9" t="s">
        <v>47</v>
      </c>
    </row>
    <row r="10" spans="1:11" ht="12.75">
      <c r="A10" s="15">
        <f>F16</f>
        <v>0.10520833333333333</v>
      </c>
      <c r="B10" s="17">
        <f>BOForce</f>
        <v>49.03448398479534</v>
      </c>
      <c r="E10" t="s">
        <v>13</v>
      </c>
      <c r="F10" s="1">
        <v>0.6</v>
      </c>
      <c r="I10" s="2">
        <f>Wres*Diam</f>
        <v>0.10001833516685003</v>
      </c>
      <c r="J10" s="2">
        <f>SUF</f>
        <v>22.002200220022004</v>
      </c>
      <c r="K10" t="s">
        <v>48</v>
      </c>
    </row>
    <row r="11" spans="1:6" ht="12.75">
      <c r="A11" s="15">
        <f>F17</f>
        <v>3.313673053687793</v>
      </c>
      <c r="B11" s="17">
        <f>MAX(ResForce,FricMin*Wgt)</f>
        <v>22.5</v>
      </c>
      <c r="E11" t="s">
        <v>14</v>
      </c>
      <c r="F11" s="1">
        <v>2.9</v>
      </c>
    </row>
    <row r="12" spans="1:6" ht="12.75">
      <c r="A12" s="15">
        <f>2*A11</f>
        <v>6.627346107375586</v>
      </c>
      <c r="B12" s="17">
        <f>B11</f>
        <v>22.5</v>
      </c>
      <c r="E12" t="s">
        <v>15</v>
      </c>
      <c r="F12" s="1">
        <v>0.48</v>
      </c>
    </row>
    <row r="13" spans="5:6" ht="12.75">
      <c r="E13" t="s">
        <v>16</v>
      </c>
      <c r="F13" s="2">
        <f>Wgt/(Diam*SUI)</f>
        <v>1.3448199043203704</v>
      </c>
    </row>
    <row r="14" spans="5:14" ht="12.75">
      <c r="E14" t="s">
        <v>20</v>
      </c>
      <c r="F14" s="2">
        <f>Diam*SUI*(BOC1*Winit^BOC2)</f>
        <v>49.03448398479534</v>
      </c>
      <c r="K14" t="s">
        <v>50</v>
      </c>
      <c r="L14" t="str">
        <f>K14</f>
        <v>Unit conv</v>
      </c>
      <c r="M14" t="str">
        <f>L14</f>
        <v>Unit conv</v>
      </c>
      <c r="N14" t="str">
        <f>M14</f>
        <v>Unit conv</v>
      </c>
    </row>
    <row r="15" spans="5:14" ht="12.75">
      <c r="E15" t="s">
        <v>21</v>
      </c>
      <c r="F15" s="2">
        <f>Diam*SUF*(ResC1*Wres^ResC2)</f>
        <v>21.695436971886757</v>
      </c>
      <c r="K15" s="1">
        <v>12</v>
      </c>
      <c r="L15" s="1">
        <f>1/12000</f>
        <v>8.333333333333333E-05</v>
      </c>
      <c r="M15" s="1">
        <f>K15</f>
        <v>12</v>
      </c>
      <c r="N15" s="1">
        <f>L15</f>
        <v>8.333333333333333E-05</v>
      </c>
    </row>
    <row r="16" spans="5:14" ht="12.75">
      <c r="E16" t="s">
        <v>22</v>
      </c>
      <c r="F16" s="2">
        <f>Diam*BODfact</f>
        <v>0.10520833333333333</v>
      </c>
      <c r="I16" t="s">
        <v>27</v>
      </c>
      <c r="J16" t="s">
        <v>28</v>
      </c>
      <c r="K16" t="s">
        <v>29</v>
      </c>
      <c r="L16" t="s">
        <v>30</v>
      </c>
      <c r="M16" t="s">
        <v>31</v>
      </c>
      <c r="N16" t="s">
        <v>32</v>
      </c>
    </row>
    <row r="17" spans="2:14" ht="12.75">
      <c r="B17" s="3"/>
      <c r="E17" t="s">
        <v>23</v>
      </c>
      <c r="F17" s="2">
        <f>F16+ABS(Winit-Wres)*Diam/PostSlope</f>
        <v>3.313673053687793</v>
      </c>
      <c r="H17" s="9"/>
      <c r="I17" s="7">
        <v>0.01125</v>
      </c>
      <c r="J17" s="7">
        <v>0.00225</v>
      </c>
      <c r="K17" s="7">
        <f>A10*K15</f>
        <v>1.2625</v>
      </c>
      <c r="L17" s="7">
        <f>B10*L15</f>
        <v>0.004086206998732945</v>
      </c>
      <c r="M17" s="7">
        <f>A11*M15</f>
        <v>39.764076644253514</v>
      </c>
      <c r="N17" s="8">
        <f>B11*N15</f>
        <v>0.001875</v>
      </c>
    </row>
    <row r="18" spans="2:14" ht="12.75">
      <c r="B18" s="3"/>
      <c r="E18" t="s">
        <v>24</v>
      </c>
      <c r="F18" s="2">
        <f>ABS(WNInit-Neutral)*Traj</f>
        <v>0.07703658490152997</v>
      </c>
      <c r="H18" s="10" t="s">
        <v>39</v>
      </c>
      <c r="I18" s="4" t="s">
        <v>33</v>
      </c>
      <c r="J18" s="4" t="s">
        <v>34</v>
      </c>
      <c r="K18" s="4" t="s">
        <v>35</v>
      </c>
      <c r="L18" s="4" t="s">
        <v>36</v>
      </c>
      <c r="M18" s="4" t="s">
        <v>37</v>
      </c>
      <c r="N18" s="5" t="s">
        <v>38</v>
      </c>
    </row>
    <row r="19" spans="2:14" ht="12.75">
      <c r="B19" s="3"/>
      <c r="E19" t="s">
        <v>49</v>
      </c>
      <c r="F19" s="1">
        <v>0.1</v>
      </c>
      <c r="H19" s="11"/>
      <c r="I19" s="13">
        <f>Param1</f>
        <v>0.01125</v>
      </c>
      <c r="J19" s="13">
        <f>Param2</f>
        <v>0.00225</v>
      </c>
      <c r="K19" s="13">
        <f>Param4/Param3</f>
        <v>0.003236599602956788</v>
      </c>
      <c r="L19" s="13">
        <f>(Param6-Param4)/(Param5-Param3)</f>
        <v>-5.743159609187004E-05</v>
      </c>
      <c r="M19" s="13">
        <f>Param4</f>
        <v>0.004086206998732945</v>
      </c>
      <c r="N19" s="14">
        <f>Param6</f>
        <v>0.001875</v>
      </c>
    </row>
    <row r="20" spans="2:14" ht="12.75">
      <c r="B20" s="3"/>
      <c r="E20" t="s">
        <v>58</v>
      </c>
      <c r="F20" s="1">
        <v>0.5</v>
      </c>
      <c r="H20" s="12" t="s">
        <v>40</v>
      </c>
      <c r="I20" s="4" t="s">
        <v>41</v>
      </c>
      <c r="J20" s="4" t="s">
        <v>42</v>
      </c>
      <c r="K20" s="4" t="s">
        <v>43</v>
      </c>
      <c r="L20" s="4" t="s">
        <v>44</v>
      </c>
      <c r="M20" s="4" t="s">
        <v>45</v>
      </c>
      <c r="N20" s="5" t="s">
        <v>46</v>
      </c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</sheetData>
  <sheetProtection/>
  <printOptions/>
  <pageMargins left="0.75" right="0.75" top="1" bottom="1" header="0.5" footer="0.5"/>
  <pageSetup fitToHeight="1" fitToWidth="1" horizontalDpi="600" verticalDpi="600" orientation="landscape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E4" sqref="E4"/>
    </sheetView>
  </sheetViews>
  <sheetFormatPr defaultColWidth="9.140625" defaultRowHeight="12.75"/>
  <sheetData>
    <row r="1" spans="1:3" ht="12.75">
      <c r="A1" t="s">
        <v>55</v>
      </c>
      <c r="B1" t="s">
        <v>56</v>
      </c>
      <c r="C1" t="s">
        <v>57</v>
      </c>
    </row>
    <row r="2" spans="1:3" ht="12.75">
      <c r="A2" s="16">
        <v>0</v>
      </c>
      <c r="B2" s="16">
        <f aca="true" t="shared" si="0" ref="B2:B23">BOC1*A2^BOC2</f>
        <v>0</v>
      </c>
      <c r="C2" s="16">
        <f aca="true" t="shared" si="1" ref="C2:C23">ResC1*A2^ResC2</f>
        <v>0</v>
      </c>
    </row>
    <row r="3" spans="1:3" ht="12.75">
      <c r="A3" s="16">
        <v>0.02</v>
      </c>
      <c r="B3" s="16">
        <f t="shared" si="0"/>
        <v>0.2725604624401605</v>
      </c>
      <c r="C3" s="16">
        <f t="shared" si="1"/>
        <v>0.44349874561498714</v>
      </c>
    </row>
    <row r="4" spans="1:3" ht="12.75">
      <c r="A4" s="16">
        <v>0.05</v>
      </c>
      <c r="B4" s="16">
        <f t="shared" si="0"/>
        <v>0.4723096974709482</v>
      </c>
      <c r="C4" s="16">
        <f t="shared" si="1"/>
        <v>0.6884994536754256</v>
      </c>
    </row>
    <row r="5" spans="1:3" ht="12.75">
      <c r="A5" s="16">
        <v>0.1</v>
      </c>
      <c r="B5" s="16">
        <f t="shared" si="0"/>
        <v>0.7158876329802305</v>
      </c>
      <c r="C5" s="16">
        <f t="shared" si="1"/>
        <v>0.9602802522995143</v>
      </c>
    </row>
    <row r="6" spans="1:3" ht="12.75">
      <c r="A6" s="16">
        <v>0.15</v>
      </c>
      <c r="B6" s="16">
        <f t="shared" si="0"/>
        <v>0.9130606267979898</v>
      </c>
      <c r="C6" s="16">
        <f t="shared" si="1"/>
        <v>1.166599543754268</v>
      </c>
    </row>
    <row r="7" spans="1:3" ht="12.75">
      <c r="A7" s="16">
        <v>0.2</v>
      </c>
      <c r="B7" s="16">
        <f t="shared" si="0"/>
        <v>1.085082745068051</v>
      </c>
      <c r="C7" s="16">
        <f t="shared" si="1"/>
        <v>1.3393447998161168</v>
      </c>
    </row>
    <row r="8" spans="1:3" ht="12.75">
      <c r="A8" s="16">
        <v>0.25</v>
      </c>
      <c r="B8" s="16">
        <f t="shared" si="0"/>
        <v>1.2405345526969769</v>
      </c>
      <c r="C8" s="16">
        <f t="shared" si="1"/>
        <v>1.4907650486512964</v>
      </c>
    </row>
    <row r="9" spans="1:3" ht="12.75">
      <c r="A9" s="16">
        <v>0.3</v>
      </c>
      <c r="B9" s="16">
        <f t="shared" si="0"/>
        <v>1.383941118266081</v>
      </c>
      <c r="C9" s="16">
        <f t="shared" si="1"/>
        <v>1.6271073248185377</v>
      </c>
    </row>
    <row r="10" spans="1:3" ht="12.75">
      <c r="A10" s="16">
        <v>0.35</v>
      </c>
      <c r="B10" s="16">
        <f t="shared" si="0"/>
        <v>1.5180486384220122</v>
      </c>
      <c r="C10" s="16">
        <f t="shared" si="1"/>
        <v>1.7520667957807254</v>
      </c>
    </row>
    <row r="11" spans="1:3" ht="12.75">
      <c r="A11" s="16">
        <v>0.4</v>
      </c>
      <c r="B11" s="16">
        <f t="shared" si="0"/>
        <v>1.6446778927342238</v>
      </c>
      <c r="C11" s="16">
        <f t="shared" si="1"/>
        <v>1.8680426766028804</v>
      </c>
    </row>
    <row r="12" spans="1:3" ht="12.75">
      <c r="A12" s="16">
        <v>0.45</v>
      </c>
      <c r="B12" s="16">
        <f t="shared" si="0"/>
        <v>1.7651124096600148</v>
      </c>
      <c r="C12" s="16">
        <f t="shared" si="1"/>
        <v>1.976696551061101</v>
      </c>
    </row>
    <row r="13" spans="1:3" ht="12.75">
      <c r="A13" s="16">
        <v>0.5</v>
      </c>
      <c r="B13" s="16">
        <f t="shared" si="0"/>
        <v>1.8802987728513743</v>
      </c>
      <c r="C13" s="16">
        <f t="shared" si="1"/>
        <v>2.07923510962295</v>
      </c>
    </row>
    <row r="14" spans="1:3" ht="12.75">
      <c r="A14" s="16">
        <v>0.55</v>
      </c>
      <c r="B14" s="16">
        <f t="shared" si="0"/>
        <v>1.9909597199790083</v>
      </c>
      <c r="C14" s="16">
        <f t="shared" si="1"/>
        <v>2.1765672431780962</v>
      </c>
    </row>
    <row r="15" spans="1:3" ht="12.75">
      <c r="A15" s="16">
        <v>0.6</v>
      </c>
      <c r="B15" s="16">
        <f t="shared" si="0"/>
        <v>2.097662480030825</v>
      </c>
      <c r="C15" s="16">
        <f t="shared" si="1"/>
        <v>2.2693976357630072</v>
      </c>
    </row>
    <row r="16" spans="1:3" ht="12.75">
      <c r="A16" s="16">
        <v>0.65</v>
      </c>
      <c r="B16" s="16">
        <f t="shared" si="0"/>
        <v>2.2008623143264665</v>
      </c>
      <c r="C16" s="16">
        <f t="shared" si="1"/>
        <v>2.3582856539914907</v>
      </c>
    </row>
    <row r="17" spans="1:3" ht="12.75">
      <c r="A17" s="16">
        <v>0.7</v>
      </c>
      <c r="B17" s="16">
        <f t="shared" si="0"/>
        <v>2.300931470024797</v>
      </c>
      <c r="C17" s="16">
        <f t="shared" si="1"/>
        <v>2.443684066438016</v>
      </c>
    </row>
    <row r="18" spans="1:3" ht="12.75">
      <c r="A18" s="16">
        <v>0.75</v>
      </c>
      <c r="B18" s="16">
        <f t="shared" si="0"/>
        <v>2.3981791233912513</v>
      </c>
      <c r="C18" s="16">
        <f t="shared" si="1"/>
        <v>2.5259654402300735</v>
      </c>
    </row>
    <row r="19" spans="1:3" ht="12.75">
      <c r="A19" s="16">
        <v>0.8</v>
      </c>
      <c r="B19" s="16">
        <f t="shared" si="0"/>
        <v>2.492865528590674</v>
      </c>
      <c r="C19" s="16">
        <f t="shared" si="1"/>
        <v>2.605440691664126</v>
      </c>
    </row>
    <row r="20" spans="1:3" ht="12.75">
      <c r="A20" s="16">
        <v>0.85</v>
      </c>
      <c r="B20" s="16">
        <f t="shared" si="0"/>
        <v>2.585212311204876</v>
      </c>
      <c r="C20" s="16">
        <f t="shared" si="1"/>
        <v>2.682372464403011</v>
      </c>
    </row>
    <row r="21" spans="1:3" ht="12.75">
      <c r="A21" s="16">
        <v>0.9</v>
      </c>
      <c r="B21" s="16">
        <f t="shared" si="0"/>
        <v>2.6754101210747727</v>
      </c>
      <c r="C21" s="16">
        <f t="shared" si="1"/>
        <v>2.7569849948891614</v>
      </c>
    </row>
    <row r="22" spans="1:3" ht="12.75">
      <c r="A22" s="16">
        <v>0.949999999999999</v>
      </c>
      <c r="B22" s="16">
        <f t="shared" si="0"/>
        <v>2.7636244303748883</v>
      </c>
      <c r="C22" s="16">
        <f t="shared" si="1"/>
        <v>2.8294715299574613</v>
      </c>
    </row>
    <row r="23" spans="1:3" ht="12.75">
      <c r="A23" s="16">
        <v>0.999999999999998</v>
      </c>
      <c r="B23" s="16">
        <f t="shared" si="0"/>
        <v>2.8499999999999965</v>
      </c>
      <c r="C23" s="16">
        <f t="shared" si="1"/>
        <v>2.899999999999997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K1" sqref="K1:L2"/>
    </sheetView>
  </sheetViews>
  <sheetFormatPr defaultColWidth="9.140625" defaultRowHeight="12.75"/>
  <cols>
    <col min="1" max="1" width="26.8515625" style="0" customWidth="1"/>
  </cols>
  <sheetData>
    <row r="1" spans="1:12" ht="12.75">
      <c r="A1" t="s">
        <v>59</v>
      </c>
      <c r="B1" t="s">
        <v>60</v>
      </c>
      <c r="L1" t="s">
        <v>62</v>
      </c>
    </row>
    <row r="2" spans="1:12" ht="12.75">
      <c r="A2">
        <v>0</v>
      </c>
      <c r="B2">
        <f>A3*Traj</f>
        <v>0.24994007999999998</v>
      </c>
      <c r="K2">
        <f>WNInit</f>
        <v>1.3448199043203704</v>
      </c>
      <c r="L2">
        <f>PostSlope</f>
        <v>0.07703658490152997</v>
      </c>
    </row>
    <row r="3" spans="1:2" ht="12.75">
      <c r="A3">
        <f>Neutral</f>
        <v>1.944</v>
      </c>
      <c r="B3">
        <f>0</f>
        <v>0</v>
      </c>
    </row>
    <row r="4" spans="1:2" ht="12.75">
      <c r="A4">
        <v>3.5</v>
      </c>
      <c r="B4">
        <f>(A3-A4)*Traj</f>
        <v>-0.20005492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McCarron</dc:creator>
  <cp:keywords/>
  <dc:description/>
  <cp:lastModifiedBy>Pletscher</cp:lastModifiedBy>
  <cp:lastPrinted>2011-08-26T14:23:26Z</cp:lastPrinted>
  <dcterms:created xsi:type="dcterms:W3CDTF">2011-05-21T22:14:03Z</dcterms:created>
  <dcterms:modified xsi:type="dcterms:W3CDTF">2011-10-03T15:20:09Z</dcterms:modified>
  <cp:category/>
  <cp:version/>
  <cp:contentType/>
  <cp:contentStatus/>
</cp:coreProperties>
</file>